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O:\Investor Relations\Tutorials - Website\14. Cash Cost SE&amp;E\"/>
    </mc:Choice>
  </mc:AlternateContent>
  <xr:revisionPtr revIDLastSave="0" documentId="13_ncr:1_{E63B698E-B73A-4F35-89F5-FAA0A7E08B21}" xr6:coauthVersionLast="47" xr6:coauthVersionMax="47" xr10:uidLastSave="{00000000-0000-0000-0000-000000000000}"/>
  <bookViews>
    <workbookView xWindow="-110" yWindow="-110" windowWidth="19420" windowHeight="10420" xr2:uid="{00000000-000D-0000-FFFF-FFFF00000000}"/>
  </bookViews>
  <sheets>
    <sheet name="Cover" sheetId="4" r:id="rId1"/>
    <sheet name="1. Total Cash Cost Evolution " sheetId="1" r:id="rId2"/>
    <sheet name="2. EBITDA Price 2017-25" sheetId="8" r:id="rId3"/>
    <sheet name="3. EBITDA Calculation" sheetId="2"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p" localSheetId="2">#REF!</definedName>
    <definedName name="\p">#REF!</definedName>
    <definedName name="\x" localSheetId="2">'[1]US Corn Margin 75-04'!#REF!</definedName>
    <definedName name="\x">'[1]US Corn Margin 75-04'!#REF!</definedName>
    <definedName name="_" localSheetId="2">#REF!</definedName>
    <definedName name="_">#REF!</definedName>
    <definedName name="___________r">#REF!</definedName>
    <definedName name="__________r">#REF!</definedName>
    <definedName name="_________r">#REF!</definedName>
    <definedName name="________r">#REF!</definedName>
    <definedName name="_______r">#REF!</definedName>
    <definedName name="______r">#REF!</definedName>
    <definedName name="_____r">#REF!</definedName>
    <definedName name="____r">#REF!</definedName>
    <definedName name="___r">#REF!</definedName>
    <definedName name="__r">#REF!</definedName>
    <definedName name="_1_">#REF!</definedName>
    <definedName name="_121_201_103">#REF!</definedName>
    <definedName name="_2_">#REF!</definedName>
    <definedName name="_23_0_F" hidden="1">'[2]Inc. St'!#REF!</definedName>
    <definedName name="_2F" hidden="1">'[2]Inc. St'!#REF!</definedName>
    <definedName name="_3_">#REF!</definedName>
    <definedName name="_3_0_F" hidden="1">'[2]Inc. St'!#REF!</definedName>
    <definedName name="_4F" hidden="1">'[2]Inc. St'!#REF!</definedName>
    <definedName name="_6_0_F" hidden="1">'[2]Inc. St'!#REF!</definedName>
    <definedName name="_7_0_F" hidden="1">'[2]Inc. St'!#REF!</definedName>
    <definedName name="_8_0_F" hidden="1">'[2]Inc. St'!#REF!</definedName>
    <definedName name="_9_0_F" hidden="1">'[2]Inc. St'!#REF!</definedName>
    <definedName name="_bal0296">[3]Plan1!$A$1:$F$238</definedName>
    <definedName name="_Bal0497">[3]Plan1!$A$1:$F$517</definedName>
    <definedName name="_bal1196">[3]Plan1!$A$1:$F$596</definedName>
    <definedName name="_bdg2000">[3]Plan1!$A$1:$AH$101</definedName>
    <definedName name="_DRE1">#REF!</definedName>
    <definedName name="_Fill" hidden="1">'[2]Inc. St'!#REF!</definedName>
    <definedName name="_xlnm._FilterDatabase" hidden="1">'[4]#REF'!$D$115:$G$117</definedName>
    <definedName name="_JHS10">[5]investimentos!#REF!</definedName>
    <definedName name="_JHS16">#REF!</definedName>
    <definedName name="_JHS2">#REF!</definedName>
    <definedName name="_JHS3">#REF!</definedName>
    <definedName name="_Key1" hidden="1">'[4]#REF'!$CY$8</definedName>
    <definedName name="_Key2" hidden="1">'[4]#REF'!$CZ$8</definedName>
    <definedName name="_Order1" hidden="1">255</definedName>
    <definedName name="_Order2" hidden="1">255</definedName>
    <definedName name="_r">#REF!</definedName>
    <definedName name="_Regression_Int">1</definedName>
    <definedName name="_Sort" hidden="1">'[6]#REF'!$CX$8:$CZ$34</definedName>
    <definedName name="_Table2_In1" hidden="1">#REF!</definedName>
    <definedName name="_Table2_In2" hidden="1">#REF!</definedName>
    <definedName name="_Table2_Out" hidden="1">#REF!</definedName>
    <definedName name="a">[7]!a</definedName>
    <definedName name="A_impresión_IM">#REF!</definedName>
    <definedName name="aadsad">#REF!</definedName>
    <definedName name="acum">#REF!</definedName>
    <definedName name="adas" hidden="1">'[8]bean future'!#REF!</definedName>
    <definedName name="ADECO">[9]TRACTOR!#REF!</definedName>
    <definedName name="Ano">#REF!</definedName>
    <definedName name="apaga">[10]!apaga</definedName>
    <definedName name="APAT">#REF!</definedName>
    <definedName name="APAT1">#REF!</definedName>
    <definedName name="area_bal">#REF!</definedName>
    <definedName name="_xlnm.Extract">#REF!</definedName>
    <definedName name="_xlnm.Print_Area" localSheetId="1">'1. Total Cash Cost Evolution '!$A$1:$BB$69</definedName>
    <definedName name="_xlnm.Print_Area" localSheetId="2">'2. EBITDA Price 2017-25'!$A$1:$S$46</definedName>
    <definedName name="_xlnm.Print_Area" localSheetId="3">'3. EBITDA Calculation'!$A$1:$M$38</definedName>
    <definedName name="_xlnm.Print_Area" localSheetId="0">Cover!$A$1:$O$34</definedName>
    <definedName name="_xlnm.Print_Area">#REF!</definedName>
    <definedName name="AREA1" localSheetId="2">#REF!</definedName>
    <definedName name="AREA1">#REF!</definedName>
    <definedName name="AREA2" localSheetId="2">#REF!</definedName>
    <definedName name="AREA2">#REF!</definedName>
    <definedName name="AREA3">#REF!</definedName>
    <definedName name="areas">#REF!</definedName>
    <definedName name="AS" localSheetId="2" hidden="1">{"'TG'!$A$1:$L$37"}</definedName>
    <definedName name="AS" hidden="1">{"'TG'!$A$1:$L$37"}</definedName>
    <definedName name="AS2DocOpenMode" hidden="1">"AS2DocumentBrowse"</definedName>
    <definedName name="AS2ReportLS" hidden="1">1</definedName>
    <definedName name="AUTOEXEC">[11]TRACTOR!#REF!</definedName>
    <definedName name="b" localSheetId="2">#REF!</definedName>
    <definedName name="b">#REF!</definedName>
    <definedName name="BANCO" localSheetId="2">#REF!</definedName>
    <definedName name="BANCO">#REF!</definedName>
    <definedName name="BankLeague" localSheetId="2">#REF!</definedName>
    <definedName name="BankLeague">#REF!</definedName>
    <definedName name="BASE">#REF!</definedName>
    <definedName name="_xlnm.Database">#REF!</definedName>
    <definedName name="BG_Ins" hidden="1">4</definedName>
    <definedName name="BG_Mod" hidden="1">6</definedName>
    <definedName name="bimestre">#REF!</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19" hidden="1">'[8]bean future'!#REF!</definedName>
    <definedName name="BLPH2" hidden="1">#REF!</definedName>
    <definedName name="BLPH20" hidden="1">'[8]bean future'!#REF!</definedName>
    <definedName name="BLPH21" hidden="1">'[8]bean future'!#REF!</definedName>
    <definedName name="BLPH22" hidden="1">'[8]bean future'!#REF!</definedName>
    <definedName name="BLPH23" hidden="1">'[8]bean future'!#REF!</definedName>
    <definedName name="BLPH24" hidden="1">'[8]bean future'!#REF!</definedName>
    <definedName name="BLPH25" hidden="1">'[8]bean future'!#REF!</definedName>
    <definedName name="BLPH26" hidden="1">'[8]bean future'!#REF!</definedName>
    <definedName name="BLPH27" hidden="1">'[8]bean future'!#REF!</definedName>
    <definedName name="BLPH28" hidden="1">'[8]bean future'!#REF!</definedName>
    <definedName name="BLPH29" hidden="1">'[8]bean future'!#REF!</definedName>
    <definedName name="BLPH30" hidden="1">'[8]bean future'!#REF!</definedName>
    <definedName name="BLPH31" hidden="1">'[8]bean future'!#REF!</definedName>
    <definedName name="BLPH32" hidden="1">'[8]bean future'!#REF!</definedName>
    <definedName name="BLPH33" hidden="1">'[8]bean future'!#REF!</definedName>
    <definedName name="BLPH34" hidden="1">[12]formula!$A$4</definedName>
    <definedName name="BLPH35" hidden="1">'[13]wheat future'!$A$3</definedName>
    <definedName name="BLPH36" hidden="1">'[14]corn future'!$A$3</definedName>
    <definedName name="BLPH4" localSheetId="2" hidden="1">#REF!</definedName>
    <definedName name="BLPH4" hidden="1">#REF!</definedName>
    <definedName name="BLPH5" localSheetId="2" hidden="1">#REF!</definedName>
    <definedName name="BLPH5" hidden="1">#REF!</definedName>
    <definedName name="BLPH6" localSheetId="2" hidden="1">#REF!</definedName>
    <definedName name="BLPH6" hidden="1">#REF!</definedName>
    <definedName name="BLPH7" hidden="1">#REF!</definedName>
    <definedName name="BLPH8" hidden="1">#REF!</definedName>
    <definedName name="BLPH9" hidden="1">#REF!</definedName>
    <definedName name="BTESTE">#REF!</definedName>
    <definedName name="C_">#N/A</definedName>
    <definedName name="Cambio">[15]PRECIOS!$F$30</definedName>
    <definedName name="CAMBIO1">'[16]Tablero Controle'!$F$69</definedName>
    <definedName name="CAMBIO2">'[16]Tablero Controle'!$G$69</definedName>
    <definedName name="CAMBIO3">'[16]Tablero Controle'!$J$69</definedName>
    <definedName name="CEREAL" localSheetId="2">#REF!</definedName>
    <definedName name="CEREAL">#REF!</definedName>
    <definedName name="ChartCaptions">'[17]EBITDA Bridge'!$C$7:$C$55</definedName>
    <definedName name="ChartingArea">'[17]EBITDA Bridge'!$A$6:$A$103,'[17]EBITDA Bridge'!$F$6:$L$103</definedName>
    <definedName name="ChartingLabels">'[17]EBITDA Bridge'!$O$6:$O$103</definedName>
    <definedName name="chartslhtop" localSheetId="2">#REF!</definedName>
    <definedName name="chartslhtop">#REF!</definedName>
    <definedName name="choice_wrapper">[7]!choice_wrapper</definedName>
    <definedName name="Choices_Wrapper">[7]!Choices_Wrapper</definedName>
    <definedName name="Cofap">#REF!</definedName>
    <definedName name="combinad">#REF!</definedName>
    <definedName name="Combinado">#REF!</definedName>
    <definedName name="COMMODITY_PRICES">[18]SCENARIOS!$F$5</definedName>
    <definedName name="Consumo" localSheetId="2">#REF!</definedName>
    <definedName name="Consumo">#REF!</definedName>
    <definedName name="CONT" localSheetId="2">#REF!</definedName>
    <definedName name="CONT">#REF!</definedName>
    <definedName name="Cortaderas" localSheetId="2">#REF!</definedName>
    <definedName name="Cortaderas">#REF!</definedName>
    <definedName name="cp">#REF!</definedName>
    <definedName name="_xlnm.Criteria">#REF!</definedName>
    <definedName name="cte">#REF!</definedName>
    <definedName name="CTRL">#REF!</definedName>
    <definedName name="CULTIVO">#REF!</definedName>
    <definedName name="D">#REF!</definedName>
    <definedName name="DADOS">#REF!</definedName>
    <definedName name="das" hidden="1">'[8]bean future'!#REF!</definedName>
    <definedName name="DATA">#REF!</definedName>
    <definedName name="Data_Final">#REF!</definedName>
    <definedName name="data10">#REF!</definedName>
    <definedName name="data10V">#REF!</definedName>
    <definedName name="data11">#REF!</definedName>
    <definedName name="data11V">#REF!</definedName>
    <definedName name="data12">#REF!</definedName>
    <definedName name="data12V">#REF!</definedName>
    <definedName name="data9">#REF!</definedName>
    <definedName name="data9V">#REF!</definedName>
    <definedName name="Date2">'[17]WC analytics (+data pages)'!$D$7</definedName>
    <definedName name="Date3">'[17]WC analytics (+data pages)'!$E$7</definedName>
    <definedName name="dol" localSheetId="2">#REF!</definedName>
    <definedName name="dol">#REF!</definedName>
    <definedName name="Dolar" localSheetId="2">#REF!</definedName>
    <definedName name="Dolar">#REF!</definedName>
    <definedName name="DÓLAR" localSheetId="2">#REF!</definedName>
    <definedName name="DÓLAR">#REF!</definedName>
    <definedName name="DRE">#REF!</definedName>
    <definedName name="dsd">#REF!</definedName>
    <definedName name="dsfdsafd" hidden="1">#REF!</definedName>
    <definedName name="e">[7]!e</definedName>
    <definedName name="EBITDA_Bridge">'[17]EBITDA Bridge'!$R$4</definedName>
    <definedName name="end" localSheetId="2">#REF!</definedName>
    <definedName name="end">#REF!</definedName>
    <definedName name="FAYear">[19]FarmI!$H$5</definedName>
    <definedName name="FAYesNo">[19]FarmI!$H$3</definedName>
    <definedName name="fff" localSheetId="2">#REF!</definedName>
    <definedName name="fff">#REF!</definedName>
    <definedName name="fsafsa" hidden="1">'[8]bean future'!#REF!</definedName>
    <definedName name="fsafsd">#REF!</definedName>
    <definedName name="FUENTES">#REF!</definedName>
    <definedName name="fyCoverDate">#REF!</definedName>
    <definedName name="ggssg">[9]TRACTOR!#REF!</definedName>
    <definedName name="GIRASOL">#REF!</definedName>
    <definedName name="_xlnm.Recorder">#REF!</definedName>
    <definedName name="GTOSCOM">#REF!</definedName>
    <definedName name="h">#REF!</definedName>
    <definedName name="HAS">#REF!</definedName>
    <definedName name="HFIN">#REF!</definedName>
    <definedName name="HOJA2">#REF!</definedName>
    <definedName name="HORIG">#REF!</definedName>
    <definedName name="HTML_CodePage" hidden="1">1252</definedName>
    <definedName name="HTML_Control" localSheetId="2"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#REF!</definedName>
    <definedName name="INDEST">#REF!</definedName>
    <definedName name="Informe">#REF!</definedName>
    <definedName name="interm_level">'[20]Tabela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#REF!</definedName>
    <definedName name="j">#REF!</definedName>
    <definedName name="jajaja" hidden="1">#REF!</definedName>
    <definedName name="jejeje" hidden="1">#REF!</definedName>
    <definedName name="jijiji" hidden="1">#REF!</definedName>
    <definedName name="jojojo" hidden="1">'[8]bean future'!#REF!</definedName>
    <definedName name="juan">#REF!</definedName>
    <definedName name="JUAN2">#REF!</definedName>
    <definedName name="JUAN3">#REF!</definedName>
    <definedName name="jujuju" hidden="1">'[8]bean future'!#REF!</definedName>
    <definedName name="k">#REF!</definedName>
    <definedName name="KK">#REF!</definedName>
    <definedName name="L_AJE_Tot">[21]Links!$G$1:$G$65536</definedName>
    <definedName name="L_CY_Beg">[21]Links!$F$1:$F$65536</definedName>
    <definedName name="L_CY_End">[21]Links!$J$1:$J$65536</definedName>
    <definedName name="L_PY_End">[21]Links!$K$1:$K$65536</definedName>
    <definedName name="L_RJE_Tot">[21]Links!$I$1:$I$65536</definedName>
    <definedName name="LeagueTrVal" localSheetId="2">#REF!</definedName>
    <definedName name="LeagueTrVal">#REF!</definedName>
    <definedName name="Letras" localSheetId="2">#REF!</definedName>
    <definedName name="Letras">#REF!</definedName>
    <definedName name="LimpiarCeldasGrises">[7]!LimpiarCeldasGrises</definedName>
    <definedName name="LimpiarFormulario">[7]!LimpiarFormulario</definedName>
    <definedName name="M.Leve">#REF!</definedName>
    <definedName name="MAIZ">#REF!</definedName>
    <definedName name="MARÇO">[22]!apaga</definedName>
    <definedName name="MARGENES" localSheetId="2">#REF!</definedName>
    <definedName name="MARGENES">#REF!</definedName>
    <definedName name="Mes" localSheetId="2">#REF!</definedName>
    <definedName name="Mes">#REF!</definedName>
    <definedName name="MESCOS1" localSheetId="2">#REF!</definedName>
    <definedName name="MESCOS1">#REF!</definedName>
    <definedName name="MESCOS2">#REF!</definedName>
    <definedName name="Meses">#REF!</definedName>
    <definedName name="meses60">'[23]Cpx Ad'!#REF!</definedName>
    <definedName name="mil">'[24]Budget Assumptions FV'!$E$5</definedName>
    <definedName name="mnbmf" localSheetId="2">#REF!</definedName>
    <definedName name="mnbmf">#REF!</definedName>
    <definedName name="Moeda" localSheetId="2">#REF!</definedName>
    <definedName name="Moeda">#REF!</definedName>
    <definedName name="moenda" localSheetId="2">#REF!</definedName>
    <definedName name="moenda">#REF!</definedName>
    <definedName name="MORT">#REF!</definedName>
    <definedName name="Nakata">#REF!</definedName>
    <definedName name="Name3">'[25]WC analytics (+data pages)'!$E$7</definedName>
    <definedName name="nb" localSheetId="2">#REF!</definedName>
    <definedName name="nb">#REF!</definedName>
    <definedName name="Nenas" localSheetId="2">#REF!</definedName>
    <definedName name="Nenas">#REF!</definedName>
    <definedName name="Nilot" localSheetId="2" hidden="1">#REF!</definedName>
    <definedName name="Nilot" hidden="1">#REF!</definedName>
    <definedName name="Nilton">#REF!</definedName>
    <definedName name="NOMBEST">#REF!</definedName>
    <definedName name="NOSE">#REF!</definedName>
    <definedName name="o">#REF!</definedName>
    <definedName name="Other">#REF!</definedName>
    <definedName name="OtherRank">#REF!</definedName>
    <definedName name="p">#REF!</definedName>
    <definedName name="parma">#REF!</definedName>
    <definedName name="Pehual">#REF!</definedName>
    <definedName name="Período">#REF!</definedName>
    <definedName name="PLANO">#REF!</definedName>
    <definedName name="PORCABEZA">#REF!</definedName>
    <definedName name="PORCACPR">#REF!</definedName>
    <definedName name="PORCACTER">#REF!</definedName>
    <definedName name="PORCCOSM1">#REF!</definedName>
    <definedName name="PORCCOSM2">#REF!</definedName>
    <definedName name="PORCESTMAQABO">#REF!</definedName>
    <definedName name="PORCESTMAQCAR">#REF!</definedName>
    <definedName name="PORCESTMAQOSC">#REF!</definedName>
    <definedName name="PORCESTMAQSCR">#REF!</definedName>
    <definedName name="pr">#REF!</definedName>
    <definedName name="preguachera">#REF!</definedName>
    <definedName name="prerecria">#REF!</definedName>
    <definedName name="pretbo">#REF!</definedName>
    <definedName name="Print_Area_MI">'[1]US Corn Margin 75-04'!#REF!</definedName>
    <definedName name="print_cash">#REF!</definedName>
    <definedName name="Print_Titles_MI">'[1]US Corn Margin 75-04'!#REF!</definedName>
    <definedName name="printbal">[10]!printbal</definedName>
    <definedName name="printcash">[10]!printcash</definedName>
    <definedName name="prod">#REF!</definedName>
    <definedName name="prod2">#REF!</definedName>
    <definedName name="PROVM0607">#REF!</definedName>
    <definedName name="q">#REF!</definedName>
    <definedName name="Real">#REF!</definedName>
    <definedName name="ReaplicarFunciones">[7]!ReaplicarFunciones</definedName>
    <definedName name="Regiões">'[26]18,1'!$B$1:$B$16</definedName>
    <definedName name="RINDE" localSheetId="2">#REF!</definedName>
    <definedName name="RINDE">#REF!</definedName>
    <definedName name="risco" localSheetId="2">#REF!</definedName>
    <definedName name="risco">#REF!</definedName>
    <definedName name="sdssdsd" localSheetId="2">#REF!</definedName>
    <definedName name="sdssdsd">#REF!</definedName>
    <definedName name="Spread">#REF!</definedName>
    <definedName name="Spread1">#REF!</definedName>
    <definedName name="Spread2">#REF!</definedName>
    <definedName name="Spread3">#REF!</definedName>
    <definedName name="Spread4">#REF!</definedName>
    <definedName name="Spread5">#REF!</definedName>
    <definedName name="Spread6">#REF!</definedName>
    <definedName name="status">[27]dez07!$G$62</definedName>
    <definedName name="Stock" localSheetId="2" hidden="1">#REF!</definedName>
    <definedName name="Stock" hidden="1">#REF!</definedName>
    <definedName name="SumaMultAbs">[7]!SumaMultAbs</definedName>
    <definedName name="SumaMultPos">[7]!SumaMultPos</definedName>
    <definedName name="t" localSheetId="2" hidden="1">{"'TG'!$A$1:$L$37"}</definedName>
    <definedName name="t" hidden="1">{"'TG'!$A$1:$L$37"}</definedName>
    <definedName name="t4321t3" hidden="1">#REF!</definedName>
    <definedName name="tabela">[28]Ranking!$A$4:$P$60</definedName>
    <definedName name="TABELA1">[29]TABELAS!$A$1:$C$65536</definedName>
    <definedName name="TABELA2">[29]TABELAS!$E$1:$G$65536</definedName>
    <definedName name="TabelReeks" localSheetId="2">#REF!</definedName>
    <definedName name="TabelReeks">#REF!</definedName>
    <definedName name="TABLA1" localSheetId="2">#REF!</definedName>
    <definedName name="TABLA1">#REF!</definedName>
    <definedName name="TABLA2" localSheetId="2">#REF!</definedName>
    <definedName name="TABLA2">#REF!</definedName>
    <definedName name="TIPOCUL">#REF!</definedName>
    <definedName name="TIT">#REF!</definedName>
    <definedName name="_xlnm.Print_Titles">#REF!</definedName>
    <definedName name="TOTALCOS">#REF!</definedName>
    <definedName name="TOTALES">#REF!</definedName>
    <definedName name="TPMINV">#REF!</definedName>
    <definedName name="TPMVAQ">#REF!</definedName>
    <definedName name="TRES">#REF!</definedName>
    <definedName name="TRIGO">#REF!</definedName>
    <definedName name="um">#REF!</definedName>
    <definedName name="UMAIIIYesNo">[19]IvinhemaI!$H$3</definedName>
    <definedName name="UMAIVYesNo">[19]IvinhemaII!$H$3</definedName>
    <definedName name="v" localSheetId="2">#REF!</definedName>
    <definedName name="v">#REF!</definedName>
    <definedName name="Varga" localSheetId="2">#REF!</definedName>
    <definedName name="Varga">#REF!</definedName>
    <definedName name="w" localSheetId="2">#REF!</definedName>
    <definedName name="w">#REF!</definedName>
    <definedName name="wetewqt" hidden="1">#REF!</definedName>
    <definedName name="wetwqt" hidden="1">#REF!</definedName>
    <definedName name="wrn.EXPENSES._.98._.US." localSheetId="2" hidden="1">{"Expenses 98 MKT",#N/A,TRUE,"MKT";"Expenses 98 BUSS",#N/A,TRUE,"BusOper";"Expenses 98 TECH",#N/A,TRUE,"Tech";"Expenses 98 LOCAL",#N/A,TRUE,"LocalProg";"Expenses 98 GA",#N/A,TRUE,"G&amp;A";"Expenses 98 CONSOL",#N/A,TRUE,"Consolidate"}</definedName>
    <definedName name="wrn.EXPENSES._.98._.US." hidden="1">{"Expenses 98 MKT",#N/A,TRUE,"MKT";"Expenses 98 BUSS",#N/A,TRUE,"BusOper";"Expenses 98 TECH",#N/A,TRUE,"Tech";"Expenses 98 LOCAL",#N/A,TRUE,"LocalProg";"Expenses 98 GA",#N/A,TRUE,"G&amp;A";"Expenses 98 CONSOL",#N/A,TRUE,"Consolidate"}</definedName>
    <definedName name="wrn.EXPENSES._.99._.REAL." localSheetId="2" hidden="1">{"Reais 99 MKT",#N/A,TRUE,"MKT";"Reais 99 BUSS",#N/A,TRUE,"BusOper";"Reais 99 TECH",#N/A,TRUE,"Tech";"Reais 99 LOCAL",#N/A,TRUE,"LocalProg";"Reais 99 GA",#N/A,TRUE,"G&amp;A";"Reais 99 CONSOL",#N/A,TRUE,"Consolidate"}</definedName>
    <definedName name="wrn.EXPENSES._.99._.REAL." hidden="1">{"Reais 99 MKT",#N/A,TRUE,"MKT";"Reais 99 BUSS",#N/A,TRUE,"BusOper";"Reais 99 TECH",#N/A,TRUE,"Tech";"Reais 99 LOCAL",#N/A,TRUE,"LocalProg";"Reais 99 GA",#N/A,TRUE,"G&amp;A";"Reais 99 CONSOL",#N/A,TRUE,"Consolidate"}</definedName>
    <definedName name="wrn.FINANCIAL._.MONTH." localSheetId="2" hidden="1">{"Expense Analysis MKT",#N/A,TRUE,"MKT";"Expense Analysis BUSS",#N/A,TRUE,"BusOper";"Expense Analysis TECH",#N/A,TRUE,"Tech";"Expense Analysis LOCAL",#N/A,TRUE,"LocalProg";"Expense Analysis GA",#N/A,TRUE,"G&amp;A";"Expense Analysis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localSheetId="2"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localSheetId="2" hidden="1">{"Expenses us MKT",#N/A,TRUE,"MKT";"Expenses us BUSS",#N/A,TRUE,"BusOper";"Expenses us TECH",#N/A,TRUE,"Tech";"Expenses us LOCAL",#N/A,TRUE,"LocalProg";"Expenses us GA",#N/A,TRUE,"G&amp;A";"Expenses us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localSheetId="2" hidden="1">{"Expenses Months us MKT",#N/A,TRUE,"MKT";"Expenses Months us BUSS",#N/A,TRUE,"BusOper";"Expenses Months us TECH",#N/A,TRUE,"Tech";"Expenses Months us LOCAL",#N/A,TRUE,"LocalProg";"Expenses Months us GA",#N/A,TRUE,"G&amp;A";"Expenses Months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localSheetId="2" hidden="1">{#N/A,#N/A,TRUE,"Consolidate";"Work Paper MKT",#N/A,TRUE,"MKT";"Work Paper BUSS",#N/A,TRUE,"BusOper";"Work Paper TECH",#N/A,TRUE,"Tech";"Work Paper LOCAL",#N/A,TRUE,"LocalProg";"Work Paper GA",#N/A,TRUE,"G&amp;A";"Work Paper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localSheetId="2" hidden="1">{"Work Paper99 MKT",#N/A,TRUE,"MKT";"Work Paper99 BUSS",#N/A,TRUE,"BusOper";"Work Paper99 TECH",#N/A,TRUE,"Tech";"Work Paper99 LOCAL",#N/A,TRUE,"LocalProg";"Work Paper99 GA",#N/A,TRUE,"G&amp;A";"Work Paper99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'[30]Budget Assumptions'!$D$5</definedName>
    <definedName name="XREF_COLUMN_4" hidden="1">'[31]Intercompany BP'!$O$1:$O$65536</definedName>
    <definedName name="XREF_COLUMN_5" hidden="1">'[31]Intercompany BP'!$X$1:$X$65536</definedName>
    <definedName name="XREF_COLUMN_6" hidden="1">'[31]Intercompany BP'!$AD$1:$AD$65536</definedName>
    <definedName name="XRefCopy1" hidden="1">'[31]Intercompany BP'!$D$56</definedName>
    <definedName name="XRefCopy7" hidden="1">'[31]Intercompany BP'!$AC$16</definedName>
    <definedName name="XXXXXXXXXX">'[32]Fat Anual 99_02'!$B$3:$P$48</definedName>
    <definedName name="y" localSheetId="2">#REF!</definedName>
    <definedName name="y">#REF!</definedName>
    <definedName name="YearAmandina" localSheetId="2">#REF!</definedName>
    <definedName name="YearAmandina">#REF!</definedName>
    <definedName name="YearAngelica" localSheetId="2">#REF!</definedName>
    <definedName name="YearAngelica">#REF!</definedName>
    <definedName name="YearIvinhema">#REF!</definedName>
    <definedName name="YearPil">#REF!</definedName>
    <definedName name="YearStart1">'[17]EBITDA Bridge'!$C$7</definedName>
    <definedName name="YearStart2">'[17]EBITDA Bridge'!$C$23</definedName>
    <definedName name="YearStart3">'[17]EBITDA Bridge'!$C$39</definedName>
    <definedName name="YearStart4">'[17]EBITDA Bridge'!$C$55</definedName>
    <definedName name="YearStart5">'[17]EBITDA Bridge'!$C$71</definedName>
    <definedName name="YearStart6">'[17]EBITDA Bridge'!$C$87</definedName>
    <definedName name="YearStart7">'[17]EBITDA Bridge'!$C$103</definedName>
    <definedName name="YearUMAII" localSheetId="2">#REF!</definedName>
    <definedName name="YearUMAII">#REF!</definedName>
    <definedName name="YEARUMAIII" localSheetId="2">#REF!</definedName>
    <definedName name="YEARUMAIII">#REF!</definedName>
    <definedName name="YearUMAIV" localSheetId="2">#REF!</definedName>
    <definedName name="YearUMAIV">#REF!</definedName>
    <definedName name="z">#REF!</definedName>
    <definedName name="ZONAE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8" i="1" l="1"/>
  <c r="Y28" i="1" s="1"/>
  <c r="C30" i="1"/>
  <c r="G30" i="1"/>
  <c r="C28" i="1"/>
  <c r="C26" i="1" s="1"/>
  <c r="C36" i="1"/>
  <c r="E36" i="1" s="1"/>
  <c r="G28" i="1"/>
  <c r="G26" i="1" s="1"/>
  <c r="G36" i="1"/>
  <c r="G40" i="1"/>
  <c r="K28" i="1"/>
  <c r="K26" i="1" s="1"/>
  <c r="K30" i="1"/>
  <c r="K36" i="1"/>
  <c r="K40" i="1"/>
  <c r="O28" i="1"/>
  <c r="O26" i="1" s="1"/>
  <c r="O30" i="1"/>
  <c r="O36" i="1"/>
  <c r="O40" i="1"/>
  <c r="S28" i="1"/>
  <c r="S26" i="1" s="1"/>
  <c r="S30" i="1"/>
  <c r="S36" i="1"/>
  <c r="S40" i="1"/>
  <c r="W30" i="1"/>
  <c r="Y33" i="1"/>
  <c r="W36" i="1"/>
  <c r="W40" i="1"/>
  <c r="AA28" i="1"/>
  <c r="AA26" i="1" s="1"/>
  <c r="AA30" i="1"/>
  <c r="AB32" i="1"/>
  <c r="AB33" i="1"/>
  <c r="AA36" i="1"/>
  <c r="AA40" i="1"/>
  <c r="AE28" i="1"/>
  <c r="AE26" i="1" s="1"/>
  <c r="AE30" i="1"/>
  <c r="AE36" i="1"/>
  <c r="AE40" i="1"/>
  <c r="AI28" i="1"/>
  <c r="AJ28" i="1" s="1"/>
  <c r="AI30" i="1"/>
  <c r="AK33" i="1"/>
  <c r="AI36" i="1"/>
  <c r="AJ41" i="1"/>
  <c r="AM28" i="1"/>
  <c r="AN28" i="1" s="1"/>
  <c r="AM30" i="1"/>
  <c r="AN33" i="1"/>
  <c r="AM36" i="1"/>
  <c r="AO41" i="1"/>
  <c r="D27" i="1"/>
  <c r="E27" i="1"/>
  <c r="H27" i="1"/>
  <c r="I27" i="1"/>
  <c r="L27" i="1"/>
  <c r="M27" i="1"/>
  <c r="P27" i="1"/>
  <c r="Q27" i="1"/>
  <c r="T27" i="1"/>
  <c r="U27" i="1"/>
  <c r="X27" i="1"/>
  <c r="AC27" i="1"/>
  <c r="AG27" i="1"/>
  <c r="AF27" i="1"/>
  <c r="AK27" i="1"/>
  <c r="AN27" i="1"/>
  <c r="AO27" i="1"/>
  <c r="D29" i="1"/>
  <c r="E29" i="1"/>
  <c r="H29" i="1"/>
  <c r="I29" i="1"/>
  <c r="L29" i="1"/>
  <c r="M29" i="1"/>
  <c r="P29" i="1"/>
  <c r="Q29" i="1"/>
  <c r="T29" i="1"/>
  <c r="U29" i="1"/>
  <c r="X29" i="1"/>
  <c r="AB29" i="1"/>
  <c r="AF29" i="1"/>
  <c r="AG29" i="1"/>
  <c r="AJ29" i="1"/>
  <c r="AK29" i="1"/>
  <c r="AN29" i="1"/>
  <c r="AO29" i="1"/>
  <c r="D31" i="1"/>
  <c r="E31" i="1"/>
  <c r="H31" i="1"/>
  <c r="I31" i="1"/>
  <c r="L31" i="1"/>
  <c r="M31" i="1"/>
  <c r="P31" i="1"/>
  <c r="Q31" i="1"/>
  <c r="T31" i="1"/>
  <c r="U31" i="1"/>
  <c r="Y31" i="1"/>
  <c r="X31" i="1"/>
  <c r="AB31" i="1"/>
  <c r="AF31" i="1"/>
  <c r="AG31" i="1"/>
  <c r="AJ31" i="1"/>
  <c r="D32" i="1"/>
  <c r="E32" i="1"/>
  <c r="H32" i="1"/>
  <c r="I32" i="1"/>
  <c r="L32" i="1"/>
  <c r="M32" i="1"/>
  <c r="P32" i="1"/>
  <c r="Q32" i="1"/>
  <c r="T32" i="1"/>
  <c r="U32" i="1"/>
  <c r="X32" i="1"/>
  <c r="AF32" i="1"/>
  <c r="AG32" i="1"/>
  <c r="AJ32" i="1"/>
  <c r="AK32" i="1"/>
  <c r="AN32" i="1"/>
  <c r="AO32" i="1"/>
  <c r="D33" i="1"/>
  <c r="E33" i="1"/>
  <c r="H33" i="1"/>
  <c r="I33" i="1"/>
  <c r="L33" i="1"/>
  <c r="M33" i="1"/>
  <c r="P33" i="1"/>
  <c r="Q33" i="1"/>
  <c r="T33" i="1"/>
  <c r="U33" i="1"/>
  <c r="X33" i="1"/>
  <c r="AC33" i="1"/>
  <c r="AG33" i="1"/>
  <c r="AF33" i="1"/>
  <c r="D34" i="1"/>
  <c r="E34" i="1"/>
  <c r="H34" i="1"/>
  <c r="I34" i="1"/>
  <c r="L34" i="1"/>
  <c r="M34" i="1"/>
  <c r="P34" i="1"/>
  <c r="Q34" i="1"/>
  <c r="T34" i="1"/>
  <c r="U34" i="1"/>
  <c r="X34" i="1"/>
  <c r="AB34" i="1"/>
  <c r="AC34" i="1"/>
  <c r="AF34" i="1"/>
  <c r="AJ34" i="1"/>
  <c r="AN34" i="1"/>
  <c r="AO34" i="1"/>
  <c r="D38" i="1"/>
  <c r="E38" i="1"/>
  <c r="H38" i="1"/>
  <c r="I38" i="1"/>
  <c r="L38" i="1"/>
  <c r="M38" i="1"/>
  <c r="P38" i="1"/>
  <c r="Q38" i="1"/>
  <c r="T38" i="1"/>
  <c r="U38" i="1"/>
  <c r="X38" i="1"/>
  <c r="Y38" i="1"/>
  <c r="AB38" i="1"/>
  <c r="AF38" i="1"/>
  <c r="AJ38" i="1"/>
  <c r="AK38" i="1"/>
  <c r="AN38" i="1"/>
  <c r="D41" i="1"/>
  <c r="E41" i="1"/>
  <c r="H41" i="1"/>
  <c r="I41" i="1"/>
  <c r="L41" i="1"/>
  <c r="M41" i="1"/>
  <c r="Q41" i="1"/>
  <c r="P41" i="1"/>
  <c r="D42" i="1"/>
  <c r="E42" i="1"/>
  <c r="H42" i="1"/>
  <c r="I42" i="1"/>
  <c r="L42" i="1"/>
  <c r="P42" i="1"/>
  <c r="Q42" i="1"/>
  <c r="AG42" i="1"/>
  <c r="AF42" i="1"/>
  <c r="AJ42" i="1"/>
  <c r="AN42" i="1"/>
  <c r="AO42" i="1"/>
  <c r="D43" i="1"/>
  <c r="E43" i="1"/>
  <c r="H43" i="1"/>
  <c r="I43" i="1"/>
  <c r="L43" i="1"/>
  <c r="M43" i="1"/>
  <c r="Q43" i="1"/>
  <c r="P43" i="1"/>
  <c r="AB43" i="1"/>
  <c r="AJ43" i="1"/>
  <c r="AK43" i="1"/>
  <c r="AN43" i="1"/>
  <c r="D44" i="1"/>
  <c r="E44" i="1"/>
  <c r="H44" i="1"/>
  <c r="I44" i="1"/>
  <c r="L44" i="1"/>
  <c r="M44" i="1"/>
  <c r="P44" i="1"/>
  <c r="Q44" i="1"/>
  <c r="T44" i="1"/>
  <c r="U44" i="1"/>
  <c r="X44" i="1"/>
  <c r="Y44" i="1"/>
  <c r="AB44" i="1"/>
  <c r="AF44" i="1"/>
  <c r="AG44" i="1"/>
  <c r="AK44" i="1"/>
  <c r="AJ44" i="1"/>
  <c r="AN44" i="1"/>
  <c r="L24" i="2"/>
  <c r="L9" i="2"/>
  <c r="L10" i="2" s="1"/>
  <c r="L8" i="2"/>
  <c r="L7" i="2"/>
  <c r="Y32" i="8"/>
  <c r="Y29" i="8"/>
  <c r="Y28" i="8"/>
  <c r="Y26" i="8"/>
  <c r="L33" i="8"/>
  <c r="L29" i="8"/>
  <c r="AC28" i="1" l="1"/>
  <c r="U28" i="1"/>
  <c r="M28" i="1"/>
  <c r="AB28" i="1"/>
  <c r="M26" i="1"/>
  <c r="AG28" i="1"/>
  <c r="AF28" i="1"/>
  <c r="AI26" i="1"/>
  <c r="AI35" i="1" s="1"/>
  <c r="AI37" i="1" s="1"/>
  <c r="AI39" i="1" s="1"/>
  <c r="AM26" i="1"/>
  <c r="AM35" i="1" s="1"/>
  <c r="AM37" i="1" s="1"/>
  <c r="AM39" i="1" s="1"/>
  <c r="Q28" i="1"/>
  <c r="D36" i="1"/>
  <c r="X28" i="1"/>
  <c r="W26" i="1"/>
  <c r="W35" i="1" s="1"/>
  <c r="W37" i="1" s="1"/>
  <c r="W39" i="1" s="1"/>
  <c r="W45" i="1" s="1"/>
  <c r="S35" i="1"/>
  <c r="S37" i="1" s="1"/>
  <c r="S39" i="1" s="1"/>
  <c r="S45" i="1" s="1"/>
  <c r="O35" i="1"/>
  <c r="O37" i="1" s="1"/>
  <c r="O39" i="1" s="1"/>
  <c r="O45" i="1" s="1"/>
  <c r="K35" i="1"/>
  <c r="K37" i="1" s="1"/>
  <c r="K39" i="1" s="1"/>
  <c r="K45" i="1" s="1"/>
  <c r="G35" i="1"/>
  <c r="G37" i="1" s="1"/>
  <c r="G39" i="1" s="1"/>
  <c r="G45" i="1" s="1"/>
  <c r="C35" i="1"/>
  <c r="C37" i="1" s="1"/>
  <c r="C39" i="1" s="1"/>
  <c r="C45" i="1" s="1"/>
  <c r="M30" i="1"/>
  <c r="AA35" i="1"/>
  <c r="AA37" i="1" s="1"/>
  <c r="AA39" i="1" s="1"/>
  <c r="AA45" i="1" s="1"/>
  <c r="AB41" i="1"/>
  <c r="AE35" i="1"/>
  <c r="AE37" i="1" s="1"/>
  <c r="AE39" i="1" s="1"/>
  <c r="AE45" i="1" s="1"/>
  <c r="AF26" i="1"/>
  <c r="AG26" i="1"/>
  <c r="AI40" i="1"/>
  <c r="AJ33" i="1"/>
  <c r="AJ30" i="1" s="1"/>
  <c r="AK41" i="1"/>
  <c r="AM40" i="1"/>
  <c r="AN41" i="1"/>
  <c r="AO33" i="1"/>
  <c r="Y33" i="8"/>
  <c r="L20" i="2"/>
  <c r="L45" i="8"/>
  <c r="P40" i="1"/>
  <c r="Q40" i="1"/>
  <c r="D40" i="1"/>
  <c r="D30" i="1"/>
  <c r="T30" i="1"/>
  <c r="Q26" i="1"/>
  <c r="AF30" i="1"/>
  <c r="Q30" i="1"/>
  <c r="L40" i="1"/>
  <c r="P30" i="1"/>
  <c r="L30" i="1"/>
  <c r="M35" i="1"/>
  <c r="I30" i="1"/>
  <c r="X26" i="1"/>
  <c r="I40" i="1"/>
  <c r="H40" i="1"/>
  <c r="H30" i="1"/>
  <c r="U26" i="1"/>
  <c r="E40" i="1"/>
  <c r="U30" i="1"/>
  <c r="E30" i="1"/>
  <c r="AF36" i="1"/>
  <c r="AG36" i="1"/>
  <c r="AB42" i="1"/>
  <c r="AC42" i="1"/>
  <c r="AF41" i="1"/>
  <c r="AG41" i="1"/>
  <c r="X41" i="1"/>
  <c r="Y41" i="1"/>
  <c r="AB30" i="1"/>
  <c r="Y36" i="1"/>
  <c r="X36" i="1"/>
  <c r="T36" i="1"/>
  <c r="U36" i="1"/>
  <c r="P36" i="1"/>
  <c r="Q36" i="1"/>
  <c r="AN36" i="1"/>
  <c r="AO36" i="1"/>
  <c r="AF43" i="1"/>
  <c r="AG43" i="1"/>
  <c r="AK36" i="1"/>
  <c r="AJ36" i="1"/>
  <c r="X30" i="1"/>
  <c r="AN26" i="1"/>
  <c r="X42" i="1"/>
  <c r="Y42" i="1"/>
  <c r="H36" i="1"/>
  <c r="I36" i="1"/>
  <c r="T41" i="1"/>
  <c r="U41" i="1"/>
  <c r="M36" i="1"/>
  <c r="L36" i="1"/>
  <c r="AB36" i="1"/>
  <c r="AC36" i="1"/>
  <c r="L28" i="1"/>
  <c r="L26" i="1" s="1"/>
  <c r="AG38" i="1"/>
  <c r="AK34" i="1"/>
  <c r="AC32" i="1"/>
  <c r="AO31" i="1"/>
  <c r="AO30" i="1" s="1"/>
  <c r="AC29" i="1"/>
  <c r="AC26" i="1" s="1"/>
  <c r="AO28" i="1"/>
  <c r="AO26" i="1" s="1"/>
  <c r="T28" i="1"/>
  <c r="T26" i="1" s="1"/>
  <c r="I28" i="1"/>
  <c r="I26" i="1" s="1"/>
  <c r="AB27" i="1"/>
  <c r="AB26" i="1" s="1"/>
  <c r="AO44" i="1"/>
  <c r="AK42" i="1"/>
  <c r="Y34" i="1"/>
  <c r="AN31" i="1"/>
  <c r="AN30" i="1" s="1"/>
  <c r="AC31" i="1"/>
  <c r="H28" i="1"/>
  <c r="H26" i="1" s="1"/>
  <c r="AC44" i="1"/>
  <c r="AO43" i="1"/>
  <c r="AO38" i="1"/>
  <c r="AJ27" i="1"/>
  <c r="AJ26" i="1" s="1"/>
  <c r="Y27" i="1"/>
  <c r="AC43" i="1"/>
  <c r="M42" i="1"/>
  <c r="M40" i="1" s="1"/>
  <c r="AC41" i="1"/>
  <c r="AC38" i="1"/>
  <c r="AG34" i="1"/>
  <c r="AG30" i="1" s="1"/>
  <c r="Y32" i="1"/>
  <c r="AK31" i="1"/>
  <c r="Y29" i="1"/>
  <c r="AK28" i="1"/>
  <c r="AK26" i="1" s="1"/>
  <c r="P28" i="1"/>
  <c r="P26" i="1" s="1"/>
  <c r="E28" i="1"/>
  <c r="E26" i="1" s="1"/>
  <c r="D28" i="1"/>
  <c r="D26" i="1" s="1"/>
  <c r="Y27" i="8"/>
  <c r="Y25" i="8"/>
  <c r="L44" i="8"/>
  <c r="Y31" i="8" s="1"/>
  <c r="L41" i="8"/>
  <c r="L40" i="8"/>
  <c r="AG35" i="1" l="1"/>
  <c r="AG37" i="1" s="1"/>
  <c r="AG39" i="1" s="1"/>
  <c r="Y30" i="8"/>
  <c r="M37" i="1"/>
  <c r="M39" i="1" s="1"/>
  <c r="M45" i="1" s="1"/>
  <c r="AK40" i="1"/>
  <c r="AJ40" i="1"/>
  <c r="T35" i="1"/>
  <c r="T37" i="1" s="1"/>
  <c r="T39" i="1" s="1"/>
  <c r="L35" i="1"/>
  <c r="L37" i="1" s="1"/>
  <c r="L39" i="1" s="1"/>
  <c r="L45" i="1" s="1"/>
  <c r="E35" i="1"/>
  <c r="E37" i="1" s="1"/>
  <c r="E39" i="1" s="1"/>
  <c r="E45" i="1" s="1"/>
  <c r="D35" i="1"/>
  <c r="D37" i="1" s="1"/>
  <c r="D39" i="1" s="1"/>
  <c r="D45" i="1" s="1"/>
  <c r="H35" i="1"/>
  <c r="H37" i="1" s="1"/>
  <c r="H39" i="1" s="1"/>
  <c r="H45" i="1" s="1"/>
  <c r="I35" i="1"/>
  <c r="I37" i="1" s="1"/>
  <c r="I39" i="1" s="1"/>
  <c r="I45" i="1" s="1"/>
  <c r="AF35" i="1"/>
  <c r="AF37" i="1" s="1"/>
  <c r="AF39" i="1" s="1"/>
  <c r="AI45" i="1"/>
  <c r="AM45" i="1"/>
  <c r="L11" i="2"/>
  <c r="AN35" i="1"/>
  <c r="AN37" i="1" s="1"/>
  <c r="AN39" i="1" s="1"/>
  <c r="Y30" i="1"/>
  <c r="X35" i="1"/>
  <c r="X37" i="1" s="1"/>
  <c r="X39" i="1" s="1"/>
  <c r="U35" i="1"/>
  <c r="U37" i="1" s="1"/>
  <c r="U39" i="1" s="1"/>
  <c r="Q35" i="1"/>
  <c r="Q37" i="1"/>
  <c r="Q39" i="1" s="1"/>
  <c r="Q45" i="1" s="1"/>
  <c r="P35" i="1"/>
  <c r="P37" i="1" s="1"/>
  <c r="P39" i="1" s="1"/>
  <c r="P45" i="1" s="1"/>
  <c r="Y26" i="1"/>
  <c r="AB35" i="1"/>
  <c r="AB37" i="1" s="1"/>
  <c r="AB39" i="1" s="1"/>
  <c r="T43" i="1"/>
  <c r="U43" i="1"/>
  <c r="AC30" i="1"/>
  <c r="AC35" i="1" s="1"/>
  <c r="AC37" i="1" s="1"/>
  <c r="AC39" i="1" s="1"/>
  <c r="AJ35" i="1"/>
  <c r="AJ37" i="1" s="1"/>
  <c r="AJ39" i="1" s="1"/>
  <c r="AJ45" i="1" s="1"/>
  <c r="AO40" i="1"/>
  <c r="AN40" i="1"/>
  <c r="AB40" i="1"/>
  <c r="AC40" i="1"/>
  <c r="AG40" i="1"/>
  <c r="AF40" i="1"/>
  <c r="U42" i="1"/>
  <c r="T42" i="1"/>
  <c r="AO35" i="1"/>
  <c r="AO37" i="1" s="1"/>
  <c r="AO39" i="1" s="1"/>
  <c r="AK30" i="1"/>
  <c r="AK35" i="1" s="1"/>
  <c r="AK37" i="1" s="1"/>
  <c r="AK39" i="1" s="1"/>
  <c r="AK45" i="1" s="1"/>
  <c r="Y34" i="8"/>
  <c r="L18" i="2" s="1"/>
  <c r="L19" i="2" s="1"/>
  <c r="L17" i="2" s="1"/>
  <c r="AG45" i="1" l="1"/>
  <c r="AF45" i="1"/>
  <c r="Y35" i="1"/>
  <c r="Y37" i="1" s="1"/>
  <c r="Y39" i="1" s="1"/>
  <c r="AB45" i="1"/>
  <c r="AN45" i="1"/>
  <c r="AC45" i="1"/>
  <c r="U40" i="1"/>
  <c r="U45" i="1" s="1"/>
  <c r="T40" i="1"/>
  <c r="T45" i="1" s="1"/>
  <c r="AO45" i="1"/>
  <c r="L22" i="2" s="1"/>
  <c r="L23" i="2" s="1"/>
  <c r="L21" i="2" s="1"/>
  <c r="L25" i="2" s="1"/>
  <c r="L37" i="2" s="1"/>
  <c r="L12" i="2"/>
  <c r="L13" i="2" s="1"/>
  <c r="L14" i="2" s="1"/>
  <c r="Y43" i="1"/>
  <c r="X43" i="1"/>
  <c r="X40" i="1" l="1"/>
  <c r="X45" i="1" s="1"/>
  <c r="Y40" i="1"/>
  <c r="Y45" i="1" s="1"/>
  <c r="X29" i="8" l="1"/>
  <c r="X27" i="8"/>
  <c r="X32" i="8" l="1"/>
  <c r="K29" i="8" l="1"/>
  <c r="K33" i="8" l="1"/>
  <c r="X26" i="8"/>
  <c r="K20" i="2" l="1"/>
  <c r="K40" i="8"/>
  <c r="X28" i="8"/>
  <c r="X25" i="8" s="1"/>
  <c r="K45" i="8"/>
  <c r="K41" i="8"/>
  <c r="K44" i="8"/>
  <c r="X31" i="8" s="1"/>
  <c r="K11" i="2" s="1"/>
  <c r="X33" i="8"/>
  <c r="X30" i="8" l="1"/>
  <c r="X34" i="8" l="1"/>
  <c r="K18" i="2" s="1"/>
  <c r="K19" i="2" l="1"/>
  <c r="K17" i="2" s="1"/>
  <c r="K8" i="2"/>
  <c r="K7" i="2"/>
  <c r="K9" i="2" l="1"/>
  <c r="K10" i="2" s="1"/>
  <c r="W27" i="8" l="1"/>
  <c r="W26" i="8" l="1"/>
  <c r="J33" i="8"/>
  <c r="J8" i="2"/>
  <c r="W29" i="8" l="1"/>
  <c r="J29" i="8"/>
  <c r="W28" i="8"/>
  <c r="J7" i="2"/>
  <c r="J9" i="2" s="1"/>
  <c r="J10" i="2" s="1"/>
  <c r="W25" i="8" l="1"/>
  <c r="J20" i="2"/>
  <c r="J44" i="8"/>
  <c r="W32" i="8"/>
  <c r="W33" i="8"/>
  <c r="J45" i="8"/>
  <c r="W31" i="8" l="1"/>
  <c r="W30" i="8" l="1"/>
  <c r="W34" i="8" s="1"/>
  <c r="J18" i="2" s="1"/>
  <c r="J19" i="2" s="1"/>
  <c r="J17" i="2" s="1"/>
  <c r="J11" i="2"/>
  <c r="V27" i="8" l="1"/>
  <c r="I33" i="8"/>
  <c r="I29" i="8"/>
  <c r="V29" i="8"/>
  <c r="V26" i="8"/>
  <c r="I45" i="8" l="1"/>
  <c r="I44" i="8"/>
  <c r="V32" i="8"/>
  <c r="V31" i="8"/>
  <c r="V33" i="8"/>
  <c r="V28" i="8"/>
  <c r="V25" i="8" s="1"/>
  <c r="I20" i="2"/>
  <c r="I11" i="2" l="1"/>
  <c r="V30" i="8"/>
  <c r="V34" i="8" s="1"/>
  <c r="I18" i="2" s="1"/>
  <c r="I19" i="2" s="1"/>
  <c r="I17" i="2" s="1"/>
  <c r="I8" i="2" l="1"/>
  <c r="I7" i="2" l="1"/>
  <c r="I9" i="2" s="1"/>
  <c r="I10" i="2" s="1"/>
  <c r="U27" i="8" l="1"/>
  <c r="T27" i="8"/>
  <c r="U29" i="8" l="1"/>
  <c r="T29" i="8"/>
  <c r="H33" i="8" l="1"/>
  <c r="G33" i="8"/>
  <c r="H29" i="8"/>
  <c r="G29" i="8"/>
  <c r="G45" i="8" l="1"/>
  <c r="H45" i="8"/>
  <c r="G44" i="8"/>
  <c r="T32" i="8"/>
  <c r="H44" i="8"/>
  <c r="U32" i="8"/>
  <c r="T33" i="8"/>
  <c r="U33" i="8"/>
  <c r="G20" i="2"/>
  <c r="H20" i="2"/>
  <c r="H16" i="2"/>
  <c r="G16" i="2"/>
  <c r="H8" i="2"/>
  <c r="U31" i="8" l="1"/>
  <c r="T31" i="8"/>
  <c r="T30" i="8" s="1"/>
  <c r="U30" i="8"/>
  <c r="H7" i="2"/>
  <c r="H9" i="2" s="1"/>
  <c r="H10" i="2" s="1"/>
  <c r="G8" i="2" l="1"/>
  <c r="G7" i="2" l="1"/>
  <c r="G9" i="2" s="1"/>
  <c r="G10" i="2" s="1"/>
  <c r="U28" i="8"/>
  <c r="T28" i="8"/>
  <c r="U26" i="8"/>
  <c r="H11" i="2" s="1"/>
  <c r="U25" i="8" l="1"/>
  <c r="T26" i="8"/>
  <c r="T25" i="8" s="1"/>
  <c r="T34" i="8" s="1"/>
  <c r="U34" i="8"/>
  <c r="G11" i="2" l="1"/>
  <c r="G18" i="2"/>
  <c r="G19" i="2" s="1"/>
  <c r="G17" i="2" s="1"/>
  <c r="H18" i="2"/>
  <c r="H19" i="2" s="1"/>
  <c r="H17" i="2" s="1"/>
  <c r="E8" i="2" l="1"/>
  <c r="D8" i="2"/>
  <c r="E7" i="2"/>
  <c r="E9" i="2" l="1"/>
  <c r="E10" i="2" s="1"/>
  <c r="S29" i="8" l="1"/>
  <c r="E29" i="8"/>
  <c r="R28" i="8" l="1"/>
  <c r="F7" i="2" l="1"/>
  <c r="F29" i="8" l="1"/>
  <c r="F33" i="8" l="1"/>
  <c r="F45" i="8" s="1"/>
  <c r="S26" i="8"/>
  <c r="S32" i="8" l="1"/>
  <c r="F44" i="8"/>
  <c r="S28" i="8"/>
  <c r="S27" i="8"/>
  <c r="S33" i="8"/>
  <c r="F20" i="2"/>
  <c r="S31" i="8" l="1"/>
  <c r="F11" i="2" s="1"/>
  <c r="S25" i="8"/>
  <c r="S30" i="8" l="1"/>
  <c r="S34" i="8" s="1"/>
  <c r="F18" i="2" l="1"/>
  <c r="F19" i="2" s="1"/>
  <c r="F17" i="2" s="1"/>
  <c r="F8" i="2" l="1"/>
  <c r="F9" i="2" s="1"/>
  <c r="F10" i="2" s="1"/>
  <c r="R29" i="8" l="1"/>
  <c r="D7" i="2" l="1"/>
  <c r="D33" i="8"/>
  <c r="D29" i="8"/>
  <c r="Q29" i="8"/>
  <c r="Q27" i="8"/>
  <c r="D45" i="8" l="1"/>
  <c r="Q32" i="8"/>
  <c r="D20" i="2"/>
  <c r="D44" i="8"/>
  <c r="Q33" i="8"/>
  <c r="D24" i="2"/>
  <c r="Q28" i="8"/>
  <c r="E33" i="8"/>
  <c r="Q26" i="8"/>
  <c r="R26" i="8"/>
  <c r="R33" i="8" l="1"/>
  <c r="E45" i="8"/>
  <c r="E44" i="8"/>
  <c r="R32" i="8"/>
  <c r="Q25" i="8"/>
  <c r="E20" i="2"/>
  <c r="E24" i="2"/>
  <c r="Q31" i="8"/>
  <c r="D11" i="2" s="1"/>
  <c r="H24" i="2" l="1"/>
  <c r="F24" i="2"/>
  <c r="Q30" i="8"/>
  <c r="Q34" i="8" s="1"/>
  <c r="D18" i="2" s="1"/>
  <c r="G24" i="2" l="1"/>
  <c r="D19" i="2"/>
  <c r="D17" i="2" s="1"/>
  <c r="J24" i="2" l="1"/>
  <c r="I24" i="2"/>
  <c r="K24" i="2" l="1"/>
  <c r="H12" i="2"/>
  <c r="H13" i="2" s="1"/>
  <c r="H14" i="2" s="1"/>
  <c r="G22" i="2"/>
  <c r="H22" i="2" l="1"/>
  <c r="H23" i="2" s="1"/>
  <c r="I12" i="2"/>
  <c r="I13" i="2" s="1"/>
  <c r="I14" i="2" s="1"/>
  <c r="G12" i="2"/>
  <c r="G13" i="2" s="1"/>
  <c r="G14" i="2" s="1"/>
  <c r="J22" i="2" l="1"/>
  <c r="J23" i="2" s="1"/>
  <c r="J21" i="2" s="1"/>
  <c r="J25" i="2" s="1"/>
  <c r="J12" i="2"/>
  <c r="J13" i="2" s="1"/>
  <c r="J14" i="2" s="1"/>
  <c r="I22" i="2"/>
  <c r="I23" i="2" s="1"/>
  <c r="I21" i="2" s="1"/>
  <c r="I25" i="2" s="1"/>
  <c r="H21" i="2"/>
  <c r="H25" i="2" s="1"/>
  <c r="H37" i="2" s="1"/>
  <c r="F12" i="2"/>
  <c r="F13" i="2" s="1"/>
  <c r="F14" i="2" s="1"/>
  <c r="D9" i="2"/>
  <c r="D10" i="2" s="1"/>
  <c r="K22" i="2" l="1"/>
  <c r="K23" i="2" s="1"/>
  <c r="K21" i="2" s="1"/>
  <c r="K25" i="2" s="1"/>
  <c r="K12" i="2"/>
  <c r="K13" i="2" s="1"/>
  <c r="K14" i="2" s="1"/>
  <c r="I37" i="2"/>
  <c r="F22" i="2"/>
  <c r="F23" i="2" s="1"/>
  <c r="F21" i="2" s="1"/>
  <c r="F25" i="2" l="1"/>
  <c r="F37" i="2" s="1"/>
  <c r="E12" i="2" l="1"/>
  <c r="E22" i="2"/>
  <c r="E23" i="2" s="1"/>
  <c r="E21" i="2" s="1"/>
  <c r="D22" i="2" l="1"/>
  <c r="D23" i="2" s="1"/>
  <c r="D21" i="2" l="1"/>
  <c r="D12" i="2"/>
  <c r="D13" i="2" s="1"/>
  <c r="D14" i="2" s="1"/>
  <c r="D25" i="2" l="1"/>
  <c r="D37" i="2" s="1"/>
  <c r="R31" i="8" l="1"/>
  <c r="R30" i="8" l="1"/>
  <c r="E11" i="2"/>
  <c r="E13" i="2" s="1"/>
  <c r="E14" i="2" s="1"/>
  <c r="R27" i="8" l="1"/>
  <c r="R25" i="8" s="1"/>
  <c r="R34" i="8" s="1"/>
  <c r="E18" i="2" s="1"/>
  <c r="E19" i="2" s="1"/>
  <c r="E17" i="2" s="1"/>
  <c r="E25" i="2" l="1"/>
  <c r="E37" i="2" s="1"/>
  <c r="G23" i="2"/>
  <c r="G21" i="2" s="1"/>
  <c r="G25" i="2" s="1"/>
  <c r="G37" i="2" l="1"/>
  <c r="K37" i="2" l="1"/>
  <c r="J37" i="2" l="1"/>
</calcChain>
</file>

<file path=xl/sharedStrings.xml><?xml version="1.0" encoding="utf-8"?>
<sst xmlns="http://schemas.openxmlformats.org/spreadsheetml/2006/main" count="256" uniqueCount="139">
  <si>
    <t>Fiscal Year 2016</t>
  </si>
  <si>
    <t>Fiscal Year 2017</t>
  </si>
  <si>
    <t>x</t>
  </si>
  <si>
    <t>Cash Cost</t>
  </si>
  <si>
    <t>USD</t>
  </si>
  <si>
    <t>$/Ton</t>
  </si>
  <si>
    <t>$/Lb</t>
  </si>
  <si>
    <t>Industrial Costs</t>
  </si>
  <si>
    <t>Tax Recovery</t>
  </si>
  <si>
    <t>Agricultural Costs</t>
  </si>
  <si>
    <t>Crop Maintenance</t>
  </si>
  <si>
    <t>Planting Renewal</t>
  </si>
  <si>
    <t>Earnings Release, Capital Expenditures &amp; Investments table</t>
  </si>
  <si>
    <t xml:space="preserve">Interharvest </t>
  </si>
  <si>
    <t>Leasing</t>
  </si>
  <si>
    <t>Energy Revenues</t>
  </si>
  <si>
    <t>Depreciation</t>
  </si>
  <si>
    <t>Note 3 of the Financial Statements, segment information, Depreciation &amp; Amortization line</t>
  </si>
  <si>
    <t>Total Cash Cost</t>
  </si>
  <si>
    <t>Operational Metrics</t>
  </si>
  <si>
    <t>Milling</t>
  </si>
  <si>
    <t>TRS content</t>
  </si>
  <si>
    <t>Lb per Kg</t>
  </si>
  <si>
    <t>TRS to VHP</t>
  </si>
  <si>
    <t>Fiscal Year 2018</t>
  </si>
  <si>
    <t>Note 3 of the Financial Statements, segment information, SG&amp;A - (gross sales - net sales)</t>
  </si>
  <si>
    <t>Milling in Th. Tons</t>
  </si>
  <si>
    <t>kg of TRS/ton</t>
  </si>
  <si>
    <t>Tons of TRS</t>
  </si>
  <si>
    <t>Tons of Sugar</t>
  </si>
  <si>
    <t>Sugar Cost cts/lbs</t>
  </si>
  <si>
    <t>Margin cts/lbs</t>
  </si>
  <si>
    <t>Margin $/ton</t>
  </si>
  <si>
    <t>Total Margin</t>
  </si>
  <si>
    <t>Where to find it?</t>
  </si>
  <si>
    <t>SG&amp;A</t>
  </si>
  <si>
    <t>EBITDA Calculation</t>
  </si>
  <si>
    <t>Revenues</t>
  </si>
  <si>
    <t>Maintenance Capex</t>
  </si>
  <si>
    <t>Non Derivative OOI</t>
  </si>
  <si>
    <t>Purchases</t>
  </si>
  <si>
    <t>Inventories NET</t>
  </si>
  <si>
    <t>Harvested Muda</t>
  </si>
  <si>
    <t>Unharvest (Model Variation)</t>
  </si>
  <si>
    <t>Ethanol</t>
  </si>
  <si>
    <t>EBITDA</t>
  </si>
  <si>
    <t>Main Metrics</t>
  </si>
  <si>
    <t>USD ´000</t>
  </si>
  <si>
    <t>cts/lb</t>
  </si>
  <si>
    <t>%</t>
  </si>
  <si>
    <t xml:space="preserve">Capex </t>
  </si>
  <si>
    <t>Renewal Planting</t>
  </si>
  <si>
    <t>Hectares Renewed</t>
  </si>
  <si>
    <t>Cost of Renewal</t>
  </si>
  <si>
    <t>Additional tons</t>
  </si>
  <si>
    <t>Average Yield</t>
  </si>
  <si>
    <t>Additional Hectares</t>
  </si>
  <si>
    <t>Total Capex</t>
  </si>
  <si>
    <t>TRS Price in cts/lbs sugar equiv.</t>
  </si>
  <si>
    <t>Sugar Sales</t>
  </si>
  <si>
    <t>Ethanol Sales</t>
  </si>
  <si>
    <t>Total Production Cost</t>
  </si>
  <si>
    <t>Total Production Cost + Expenses</t>
  </si>
  <si>
    <t>Agricultural Equipment</t>
  </si>
  <si>
    <t>Industrial Cost</t>
  </si>
  <si>
    <t>EBITDA Price Calculation</t>
  </si>
  <si>
    <t>cts/lb to $/ton</t>
  </si>
  <si>
    <t xml:space="preserve">ATR ton to Hydrous Ethanol m3 </t>
  </si>
  <si>
    <t xml:space="preserve">ATR ton to Anhydrous Ethanol m3 </t>
  </si>
  <si>
    <t>Sugar ton to ATR eq.</t>
  </si>
  <si>
    <t>Sugar Price</t>
  </si>
  <si>
    <t>Average Selling Price</t>
  </si>
  <si>
    <t>Units</t>
  </si>
  <si>
    <t>tons</t>
  </si>
  <si>
    <t>3rd party commercialization</t>
  </si>
  <si>
    <t>Selling Net Price</t>
  </si>
  <si>
    <t>USD/ton</t>
  </si>
  <si>
    <t>OOI</t>
  </si>
  <si>
    <t>3rd party sales - Uruguay</t>
  </si>
  <si>
    <t>Freight</t>
  </si>
  <si>
    <t>Ethanol Price</t>
  </si>
  <si>
    <t>OOI - Sugar</t>
  </si>
  <si>
    <t>Sugar</t>
  </si>
  <si>
    <t>Freight Costs</t>
  </si>
  <si>
    <t xml:space="preserve">Hydrous </t>
  </si>
  <si>
    <t>Hydrous</t>
  </si>
  <si>
    <t>USD/m3</t>
  </si>
  <si>
    <t>Anhydrous</t>
  </si>
  <si>
    <t>OOI - Ethanol</t>
  </si>
  <si>
    <t>Sugar - Ethanol Mix</t>
  </si>
  <si>
    <t>Ethanol Selling Mix</t>
  </si>
  <si>
    <t>m3</t>
  </si>
  <si>
    <t>Units - Sugar Equivalent</t>
  </si>
  <si>
    <t>EBITDA PRICE</t>
  </si>
  <si>
    <t>EBITDA Price</t>
  </si>
  <si>
    <t>Selling Volume</t>
  </si>
  <si>
    <t>Cost</t>
  </si>
  <si>
    <t>Production Volume</t>
  </si>
  <si>
    <t>Fixed Share</t>
  </si>
  <si>
    <t>Tax Recovery Effect</t>
  </si>
  <si>
    <t>Price</t>
  </si>
  <si>
    <t>Freight Cost - Sugar</t>
  </si>
  <si>
    <t>Freight Cost</t>
  </si>
  <si>
    <t>Sales Taxes (PIS COFINS, INSS, IPI)</t>
  </si>
  <si>
    <t>SG&amp;A, net</t>
  </si>
  <si>
    <t>Important Notes:</t>
  </si>
  <si>
    <t>Fiscal Year 2019</t>
  </si>
  <si>
    <t xml:space="preserve">EBITDA Calculation </t>
  </si>
  <si>
    <t>Campaign + 1</t>
  </si>
  <si>
    <t>Campaign</t>
  </si>
  <si>
    <t>(i) ICMS tax rebate can be considered either as a cost reduction, or as an increase in price. From a management perspective, it is considered an increase in price to decide whether to maximize ethanol or sugar. In cell C10, you can choose how you want to consider it.</t>
  </si>
  <si>
    <t>(ii) From an accounting perspective, freight cost for sugar is included in SG&amp;A. However, to make the price comparable to ethanol, it can be deducted from price. In fact, ethanol is sold ex mill. In cell C11, you can choose how you want to consider it.</t>
  </si>
  <si>
    <t>Exchange Difference</t>
  </si>
  <si>
    <t>Impact of IFRS 16 cane depreciation</t>
  </si>
  <si>
    <t xml:space="preserve">Total Cash Cost Evolution </t>
  </si>
  <si>
    <t>Interharvest Capex</t>
  </si>
  <si>
    <t>Agricultural Equipment Capex</t>
  </si>
  <si>
    <t>Fiscal Year 2020</t>
  </si>
  <si>
    <t>Fiscal Year 2021</t>
  </si>
  <si>
    <t>Agricultural Cost</t>
  </si>
  <si>
    <t>Cbios Margin</t>
  </si>
  <si>
    <t>Crops Margin</t>
  </si>
  <si>
    <t>Others</t>
  </si>
  <si>
    <t>Cash Cost (without freight costs &amp; taxes)</t>
  </si>
  <si>
    <t>Fiscal Year 2022</t>
  </si>
  <si>
    <t xml:space="preserve"> </t>
  </si>
  <si>
    <t>Earning Release, Sugar, Ethanol &amp; Energy, Total production Costs</t>
  </si>
  <si>
    <t>Earning Release, Sugar, Ethanol &amp; Energy, Total Cost of Production</t>
  </si>
  <si>
    <r>
      <rPr>
        <i/>
        <sz val="11"/>
        <color theme="0"/>
        <rFont val="Montserrat"/>
      </rPr>
      <t>´</t>
    </r>
    <r>
      <rPr>
        <i/>
        <sz val="11"/>
        <color theme="1"/>
        <rFont val="Montserrat"/>
      </rPr>
      <t xml:space="preserve">(1) Does not include sales tax </t>
    </r>
  </si>
  <si>
    <r>
      <rPr>
        <i/>
        <sz val="11"/>
        <color theme="0"/>
        <rFont val="Montserrat"/>
      </rPr>
      <t>´</t>
    </r>
    <r>
      <rPr>
        <i/>
        <sz val="11"/>
        <color theme="1"/>
        <rFont val="Montserrat"/>
      </rPr>
      <t>(2) 2019 excludes the impact of IFRS 16 cane depreciation</t>
    </r>
  </si>
  <si>
    <t>3rd party cane</t>
  </si>
  <si>
    <t>Harvest</t>
  </si>
  <si>
    <t>Cane Depreciation</t>
  </si>
  <si>
    <r>
      <t>SG&amp;A</t>
    </r>
    <r>
      <rPr>
        <vertAlign val="superscript"/>
        <sz val="11"/>
        <color theme="1"/>
        <rFont val="Montserrat"/>
      </rPr>
      <t>(1)</t>
    </r>
  </si>
  <si>
    <r>
      <t>Recurring Capex</t>
    </r>
    <r>
      <rPr>
        <b/>
        <vertAlign val="superscript"/>
        <sz val="11"/>
        <color theme="1"/>
        <rFont val="Montserrat"/>
      </rPr>
      <t>(2)</t>
    </r>
  </si>
  <si>
    <t>Fiscal Year 2023</t>
  </si>
  <si>
    <t>Fiscal Year 2024</t>
  </si>
  <si>
    <t>USD '000</t>
  </si>
  <si>
    <t>Fiscal Year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</si>
</sst>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 #,##0.00_-;_-* &quot;-&quot;??_-;_-@_-"/>
    <numFmt numFmtId="164" formatCode="#,##0.0"/>
    <numFmt numFmtId="165" formatCode="0.0"/>
    <numFmt numFmtId="166" formatCode="#,##0;\(#,##0\)"/>
    <numFmt numFmtId="167" formatCode="#,##0.0;\(#,##0.0\)"/>
    <numFmt numFmtId="168" formatCode="0.000"/>
    <numFmt numFmtId="169" formatCode="0;\(0\)"/>
    <numFmt numFmtId="170" formatCode="\-"/>
    <numFmt numFmtId="171" formatCode="0.0;\(0.0\)"/>
    <numFmt numFmtId="172" formatCode="0.0%"/>
    <numFmt numFmtId="173" formatCode="_ [$€-2]\ * #,##0.00_ ;_ [$€-2]\ * \-#,##0.00_ ;_ [$€-2]\ * &quot;-&quot;??_ "/>
    <numFmt numFmtId="174" formatCode="_-* #,##0_-;\-* #,##0_-;_-* &quot;-&quot;??_-;_-@_-"/>
    <numFmt numFmtId="175" formatCode="#,##0.00;\(#,##0.00\)"/>
  </numFmts>
  <fonts count="26" x14ac:knownFonts="1">
    <font>
      <sz val="11"/>
      <color theme="1"/>
      <name val="Calibri"/>
      <family val="2"/>
      <scheme val="minor"/>
    </font>
    <font>
      <sz val="11"/>
      <color theme="1"/>
      <name val="Calibri"/>
      <family val="2"/>
      <scheme val="minor"/>
    </font>
    <font>
      <b/>
      <sz val="11"/>
      <color rgb="FF004B14"/>
      <name val="Calibri"/>
      <family val="2"/>
      <scheme val="minor"/>
    </font>
    <font>
      <b/>
      <sz val="10"/>
      <color rgb="FFC00000"/>
      <name val="Calibri"/>
      <family val="2"/>
      <scheme val="minor"/>
    </font>
    <font>
      <b/>
      <sz val="11"/>
      <color rgb="FFC00000"/>
      <name val="Calibri"/>
      <family val="2"/>
      <scheme val="minor"/>
    </font>
    <font>
      <b/>
      <sz val="11"/>
      <color rgb="FF004915"/>
      <name val="Calibri"/>
      <family val="2"/>
      <scheme val="minor"/>
    </font>
    <font>
      <sz val="11"/>
      <color theme="0"/>
      <name val="Calibri"/>
      <family val="2"/>
      <scheme val="minor"/>
    </font>
    <font>
      <b/>
      <sz val="20"/>
      <color rgb="FF004915"/>
      <name val="Montserrat Black"/>
    </font>
    <font>
      <b/>
      <sz val="11"/>
      <color theme="1"/>
      <name val="Montserrat"/>
    </font>
    <font>
      <sz val="11"/>
      <color theme="1"/>
      <name val="Montserrat"/>
    </font>
    <font>
      <sz val="11"/>
      <color rgb="FF0000FF"/>
      <name val="Montserrat"/>
    </font>
    <font>
      <sz val="11"/>
      <name val="Montserrat"/>
    </font>
    <font>
      <b/>
      <i/>
      <sz val="11"/>
      <color theme="0"/>
      <name val="Montserrat"/>
    </font>
    <font>
      <b/>
      <sz val="11"/>
      <color rgb="FF004C16"/>
      <name val="Montserrat"/>
    </font>
    <font>
      <b/>
      <u/>
      <sz val="11"/>
      <color theme="1"/>
      <name val="Montserrat"/>
    </font>
    <font>
      <i/>
      <sz val="11"/>
      <color theme="1"/>
      <name val="Montserrat"/>
    </font>
    <font>
      <i/>
      <sz val="11"/>
      <name val="Montserrat"/>
    </font>
    <font>
      <vertAlign val="superscript"/>
      <sz val="11"/>
      <color theme="1"/>
      <name val="Montserrat"/>
    </font>
    <font>
      <b/>
      <i/>
      <u/>
      <sz val="11"/>
      <color theme="1"/>
      <name val="Montserrat"/>
    </font>
    <font>
      <b/>
      <sz val="11"/>
      <name val="Montserrat"/>
    </font>
    <font>
      <i/>
      <sz val="11"/>
      <color theme="0"/>
      <name val="Montserrat"/>
    </font>
    <font>
      <sz val="10"/>
      <name val="Montserrat"/>
    </font>
    <font>
      <b/>
      <sz val="11"/>
      <color theme="0"/>
      <name val="Montserrat"/>
    </font>
    <font>
      <b/>
      <vertAlign val="superscript"/>
      <sz val="11"/>
      <color theme="1"/>
      <name val="Montserrat"/>
    </font>
    <font>
      <sz val="11"/>
      <color rgb="FFFF0000"/>
      <name val="Montserrat"/>
    </font>
    <font>
      <u/>
      <sz val="11"/>
      <color theme="1"/>
      <name val="Montserrat"/>
    </font>
  </fonts>
  <fills count="6">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FC000"/>
        <bgColor indexed="64"/>
      </patternFill>
    </fill>
    <fill>
      <patternFill patternType="solid">
        <fgColor rgb="FF00573B"/>
        <bgColor indexed="64"/>
      </patternFill>
    </fill>
  </fills>
  <borders count="20">
    <border>
      <left/>
      <right/>
      <top/>
      <bottom/>
      <diagonal/>
    </border>
    <border>
      <left/>
      <right/>
      <top style="thin">
        <color rgb="FF004B1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thin">
        <color rgb="FF004B14"/>
      </top>
      <bottom style="thin">
        <color theme="0" tint="-0.14996795556505021"/>
      </bottom>
      <diagonal/>
    </border>
    <border>
      <left/>
      <right/>
      <top style="thin">
        <color theme="0" tint="-0.14996795556505021"/>
      </top>
      <bottom style="thin">
        <color theme="0" tint="-0.14996795556505021"/>
      </bottom>
      <diagonal/>
    </border>
    <border>
      <left/>
      <right/>
      <top style="thin">
        <color theme="0" tint="-0.14996795556505021"/>
      </top>
      <bottom style="thin">
        <color indexed="64"/>
      </bottom>
      <diagonal/>
    </border>
    <border>
      <left/>
      <right/>
      <top style="thin">
        <color theme="0" tint="-0.14996795556505021"/>
      </top>
      <bottom/>
      <diagonal/>
    </border>
    <border>
      <left/>
      <right/>
      <top/>
      <bottom style="dashed">
        <color indexed="64"/>
      </bottom>
      <diagonal/>
    </border>
    <border>
      <left/>
      <right/>
      <top style="dashed">
        <color auto="1"/>
      </top>
      <bottom/>
      <diagonal/>
    </border>
    <border>
      <left/>
      <right/>
      <top/>
      <bottom style="medium">
        <color rgb="FF004B14"/>
      </bottom>
      <diagonal/>
    </border>
    <border>
      <left/>
      <right/>
      <top style="dashed">
        <color rgb="FF004B14"/>
      </top>
      <bottom/>
      <diagonal/>
    </border>
    <border>
      <left/>
      <right/>
      <top/>
      <bottom style="thin">
        <color rgb="FF004B14"/>
      </bottom>
      <diagonal/>
    </border>
    <border>
      <left/>
      <right/>
      <top/>
      <bottom style="medium">
        <color rgb="FF004915"/>
      </bottom>
      <diagonal/>
    </border>
    <border>
      <left style="dashed">
        <color auto="1"/>
      </left>
      <right/>
      <top style="dashed">
        <color auto="1"/>
      </top>
      <bottom/>
      <diagonal/>
    </border>
    <border>
      <left/>
      <right style="dashed">
        <color auto="1"/>
      </right>
      <top style="dashed">
        <color auto="1"/>
      </top>
      <bottom/>
      <diagonal/>
    </border>
    <border>
      <left style="dashed">
        <color auto="1"/>
      </left>
      <right/>
      <top/>
      <bottom style="dashed">
        <color auto="1"/>
      </bottom>
      <diagonal/>
    </border>
    <border>
      <left/>
      <right style="dashed">
        <color auto="1"/>
      </right>
      <top/>
      <bottom style="dashed">
        <color auto="1"/>
      </bottom>
      <diagonal/>
    </border>
    <border>
      <left/>
      <right/>
      <top style="thin">
        <color rgb="FF004B14"/>
      </top>
      <bottom style="thin">
        <color indexed="64"/>
      </bottom>
      <diagonal/>
    </border>
  </borders>
  <cellStyleXfs count="4">
    <xf numFmtId="0" fontId="0" fillId="0" borderId="0"/>
    <xf numFmtId="9" fontId="1" fillId="0" borderId="0" applyFont="0" applyFill="0" applyBorder="0" applyAlignment="0" applyProtection="0"/>
    <xf numFmtId="173" fontId="1" fillId="0" borderId="0"/>
    <xf numFmtId="43" fontId="1" fillId="0" borderId="0" applyFont="0" applyFill="0" applyBorder="0" applyAlignment="0" applyProtection="0"/>
  </cellStyleXfs>
  <cellXfs count="133">
    <xf numFmtId="0" fontId="0" fillId="0" borderId="0" xfId="0"/>
    <xf numFmtId="0" fontId="3" fillId="0" borderId="0" xfId="0" applyFont="1"/>
    <xf numFmtId="0" fontId="1" fillId="0" borderId="0" xfId="0" applyFont="1"/>
    <xf numFmtId="0" fontId="1" fillId="0" borderId="0" xfId="0" applyFont="1" applyAlignment="1">
      <alignment horizontal="center"/>
    </xf>
    <xf numFmtId="0" fontId="0" fillId="0" borderId="11" xfId="0" applyBorder="1"/>
    <xf numFmtId="0" fontId="2" fillId="0" borderId="11" xfId="0" applyFont="1" applyBorder="1"/>
    <xf numFmtId="0" fontId="4" fillId="0" borderId="0" xfId="0" applyFont="1"/>
    <xf numFmtId="173" fontId="5" fillId="0" borderId="14" xfId="2" applyFont="1" applyBorder="1"/>
    <xf numFmtId="173" fontId="5" fillId="0" borderId="0" xfId="2" applyFont="1"/>
    <xf numFmtId="0" fontId="6" fillId="0" borderId="0" xfId="0" applyFont="1"/>
    <xf numFmtId="173" fontId="7" fillId="0" borderId="14" xfId="2" applyFont="1" applyBorder="1"/>
    <xf numFmtId="0" fontId="8" fillId="0" borderId="0" xfId="0" applyFont="1"/>
    <xf numFmtId="0" fontId="9" fillId="0" borderId="0" xfId="0" applyFont="1"/>
    <xf numFmtId="0" fontId="9" fillId="0" borderId="0" xfId="0" applyFont="1" applyAlignment="1">
      <alignment horizontal="left" indent="1"/>
    </xf>
    <xf numFmtId="0" fontId="9" fillId="0" borderId="1" xfId="0" applyFont="1" applyBorder="1"/>
    <xf numFmtId="3" fontId="9" fillId="0" borderId="1" xfId="0" applyNumberFormat="1" applyFont="1" applyBorder="1" applyAlignment="1">
      <alignment horizontal="center"/>
    </xf>
    <xf numFmtId="3" fontId="9" fillId="0" borderId="0" xfId="0" applyNumberFormat="1" applyFont="1" applyAlignment="1">
      <alignment horizontal="center"/>
    </xf>
    <xf numFmtId="3" fontId="11" fillId="0" borderId="4" xfId="0" applyNumberFormat="1" applyFont="1" applyBorder="1" applyAlignment="1">
      <alignment horizontal="center"/>
    </xf>
    <xf numFmtId="165" fontId="9" fillId="0" borderId="0" xfId="0" applyNumberFormat="1" applyFont="1" applyAlignment="1">
      <alignment horizontal="center"/>
    </xf>
    <xf numFmtId="2" fontId="9" fillId="0" borderId="0" xfId="0" applyNumberFormat="1" applyFont="1"/>
    <xf numFmtId="9" fontId="11" fillId="0" borderId="1" xfId="1" applyFont="1" applyBorder="1" applyAlignment="1">
      <alignment horizontal="center"/>
    </xf>
    <xf numFmtId="0" fontId="12" fillId="0" borderId="0" xfId="0" applyFont="1" applyAlignment="1">
      <alignment horizontal="center"/>
    </xf>
    <xf numFmtId="0" fontId="13" fillId="0" borderId="0" xfId="0" applyFont="1" applyAlignment="1">
      <alignment horizontal="center"/>
    </xf>
    <xf numFmtId="164" fontId="14" fillId="0" borderId="0" xfId="0" applyNumberFormat="1" applyFont="1" applyAlignment="1">
      <alignment horizontal="center"/>
    </xf>
    <xf numFmtId="0" fontId="15" fillId="0" borderId="0" xfId="0" applyFont="1" applyAlignment="1">
      <alignment horizontal="left" indent="1"/>
    </xf>
    <xf numFmtId="3" fontId="15" fillId="0" borderId="0" xfId="0" applyNumberFormat="1" applyFont="1" applyAlignment="1">
      <alignment horizontal="center"/>
    </xf>
    <xf numFmtId="164" fontId="15" fillId="0" borderId="0" xfId="0" applyNumberFormat="1" applyFont="1" applyAlignment="1">
      <alignment horizontal="center"/>
    </xf>
    <xf numFmtId="3" fontId="16" fillId="0" borderId="0" xfId="0" applyNumberFormat="1" applyFont="1" applyAlignment="1">
      <alignment horizontal="center"/>
    </xf>
    <xf numFmtId="167" fontId="15" fillId="0" borderId="0" xfId="0" applyNumberFormat="1" applyFont="1" applyAlignment="1">
      <alignment horizontal="center"/>
    </xf>
    <xf numFmtId="166" fontId="15" fillId="0" borderId="0" xfId="0" applyNumberFormat="1" applyFont="1" applyAlignment="1">
      <alignment horizontal="center"/>
    </xf>
    <xf numFmtId="166" fontId="16" fillId="0" borderId="0" xfId="0" applyNumberFormat="1" applyFont="1" applyAlignment="1">
      <alignment horizontal="center"/>
    </xf>
    <xf numFmtId="4" fontId="9" fillId="0" borderId="0" xfId="0" applyNumberFormat="1" applyFont="1" applyAlignment="1">
      <alignment horizontal="center"/>
    </xf>
    <xf numFmtId="164" fontId="9" fillId="0" borderId="0" xfId="0" applyNumberFormat="1" applyFont="1" applyAlignment="1">
      <alignment horizontal="center"/>
    </xf>
    <xf numFmtId="164" fontId="8" fillId="0" borderId="0" xfId="0" applyNumberFormat="1" applyFont="1" applyAlignment="1">
      <alignment horizontal="center"/>
    </xf>
    <xf numFmtId="164" fontId="13" fillId="0" borderId="0" xfId="0" applyNumberFormat="1" applyFont="1" applyAlignment="1">
      <alignment horizontal="center"/>
    </xf>
    <xf numFmtId="3" fontId="11" fillId="0" borderId="0" xfId="0" applyNumberFormat="1" applyFont="1" applyAlignment="1">
      <alignment horizontal="center"/>
    </xf>
    <xf numFmtId="167" fontId="9" fillId="0" borderId="0" xfId="0" applyNumberFormat="1" applyFont="1" applyAlignment="1">
      <alignment horizontal="center"/>
    </xf>
    <xf numFmtId="166" fontId="9" fillId="0" borderId="0" xfId="0" applyNumberFormat="1" applyFont="1" applyAlignment="1">
      <alignment horizontal="center"/>
    </xf>
    <xf numFmtId="166" fontId="11" fillId="0" borderId="0" xfId="0" applyNumberFormat="1" applyFont="1" applyAlignment="1">
      <alignment horizontal="center"/>
    </xf>
    <xf numFmtId="164" fontId="18" fillId="0" borderId="0" xfId="0" applyNumberFormat="1" applyFont="1" applyAlignment="1">
      <alignment horizontal="center"/>
    </xf>
    <xf numFmtId="3" fontId="15" fillId="0" borderId="0" xfId="0" applyNumberFormat="1" applyFont="1" applyAlignment="1">
      <alignment horizontal="center" vertical="center"/>
    </xf>
    <xf numFmtId="3" fontId="16" fillId="0" borderId="0" xfId="0" applyNumberFormat="1" applyFont="1" applyAlignment="1">
      <alignment horizontal="center" vertical="center"/>
    </xf>
    <xf numFmtId="0" fontId="9" fillId="0" borderId="0" xfId="0" applyFont="1" applyAlignment="1">
      <alignment vertical="center"/>
    </xf>
    <xf numFmtId="166" fontId="8" fillId="0" borderId="0" xfId="0" applyNumberFormat="1" applyFont="1" applyAlignment="1">
      <alignment horizontal="center"/>
    </xf>
    <xf numFmtId="167" fontId="8" fillId="0" borderId="0" xfId="0" applyNumberFormat="1" applyFont="1" applyAlignment="1">
      <alignment horizontal="center"/>
    </xf>
    <xf numFmtId="166" fontId="19" fillId="0" borderId="0" xfId="0" applyNumberFormat="1" applyFont="1" applyAlignment="1">
      <alignment horizontal="center"/>
    </xf>
    <xf numFmtId="169" fontId="15" fillId="0" borderId="0" xfId="0" applyNumberFormat="1" applyFont="1" applyAlignment="1">
      <alignment horizontal="left"/>
    </xf>
    <xf numFmtId="164" fontId="9" fillId="0" borderId="0" xfId="0" applyNumberFormat="1" applyFont="1"/>
    <xf numFmtId="9" fontId="9" fillId="0" borderId="0" xfId="1" applyFont="1" applyFill="1" applyBorder="1"/>
    <xf numFmtId="0" fontId="15" fillId="0" borderId="10" xfId="0" applyFont="1" applyBorder="1" applyAlignment="1">
      <alignment horizontal="left" indent="1"/>
    </xf>
    <xf numFmtId="0" fontId="9" fillId="0" borderId="10" xfId="0" applyFont="1" applyBorder="1"/>
    <xf numFmtId="170" fontId="9" fillId="0" borderId="10" xfId="0" applyNumberFormat="1" applyFont="1" applyBorder="1" applyAlignment="1">
      <alignment horizontal="center"/>
    </xf>
    <xf numFmtId="170" fontId="11" fillId="0" borderId="10" xfId="0" applyNumberFormat="1" applyFont="1" applyBorder="1" applyAlignment="1">
      <alignment horizontal="center"/>
    </xf>
    <xf numFmtId="170" fontId="9" fillId="0" borderId="0" xfId="0" applyNumberFormat="1" applyFont="1" applyAlignment="1">
      <alignment horizontal="center"/>
    </xf>
    <xf numFmtId="0" fontId="15" fillId="0" borderId="9" xfId="0" applyFont="1" applyBorder="1" applyAlignment="1">
      <alignment horizontal="left" indent="1"/>
    </xf>
    <xf numFmtId="0" fontId="9" fillId="0" borderId="9" xfId="0" applyFont="1" applyBorder="1"/>
    <xf numFmtId="170" fontId="9" fillId="0" borderId="9" xfId="0" applyNumberFormat="1" applyFont="1" applyBorder="1" applyAlignment="1">
      <alignment horizontal="center"/>
    </xf>
    <xf numFmtId="3" fontId="9" fillId="0" borderId="0" xfId="0" applyNumberFormat="1" applyFont="1"/>
    <xf numFmtId="0" fontId="9" fillId="3" borderId="15" xfId="0" applyFont="1" applyFill="1" applyBorder="1"/>
    <xf numFmtId="9" fontId="10" fillId="3" borderId="16" xfId="1" applyFont="1" applyFill="1" applyBorder="1" applyAlignment="1">
      <alignment horizontal="center"/>
    </xf>
    <xf numFmtId="0" fontId="9" fillId="3" borderId="17" xfId="0" applyFont="1" applyFill="1" applyBorder="1"/>
    <xf numFmtId="9" fontId="10" fillId="3" borderId="18" xfId="1" applyFont="1" applyFill="1" applyBorder="1" applyAlignment="1">
      <alignment horizontal="center"/>
    </xf>
    <xf numFmtId="165" fontId="11" fillId="0" borderId="0" xfId="0" applyNumberFormat="1" applyFont="1" applyAlignment="1">
      <alignment horizontal="center"/>
    </xf>
    <xf numFmtId="0" fontId="9" fillId="0" borderId="2" xfId="0" applyFont="1" applyBorder="1"/>
    <xf numFmtId="168" fontId="9" fillId="0" borderId="2" xfId="0" applyNumberFormat="1" applyFont="1" applyBorder="1" applyAlignment="1">
      <alignment horizontal="center"/>
    </xf>
    <xf numFmtId="168" fontId="11" fillId="0" borderId="2" xfId="0" applyNumberFormat="1" applyFont="1" applyBorder="1" applyAlignment="1">
      <alignment horizontal="center"/>
    </xf>
    <xf numFmtId="9" fontId="11" fillId="0" borderId="0" xfId="1" applyFont="1" applyFill="1" applyBorder="1" applyAlignment="1">
      <alignment horizontal="center"/>
    </xf>
    <xf numFmtId="0" fontId="9" fillId="0" borderId="19" xfId="0" applyFont="1" applyBorder="1"/>
    <xf numFmtId="9" fontId="11" fillId="0" borderId="19" xfId="1" applyFont="1" applyFill="1" applyBorder="1" applyAlignment="1">
      <alignment horizontal="center"/>
    </xf>
    <xf numFmtId="166" fontId="19" fillId="4" borderId="3" xfId="3" applyNumberFormat="1" applyFont="1" applyFill="1" applyBorder="1" applyAlignment="1">
      <alignment horizontal="center" vertical="center" wrapText="1"/>
    </xf>
    <xf numFmtId="166" fontId="19" fillId="4" borderId="3" xfId="3" applyNumberFormat="1" applyFont="1" applyFill="1" applyBorder="1" applyAlignment="1">
      <alignment horizontal="left" vertical="center" wrapText="1"/>
    </xf>
    <xf numFmtId="166" fontId="22" fillId="5" borderId="3" xfId="3" applyNumberFormat="1" applyFont="1" applyFill="1" applyBorder="1" applyAlignment="1">
      <alignment horizontal="left" vertical="center" wrapText="1"/>
    </xf>
    <xf numFmtId="0" fontId="22" fillId="5" borderId="3" xfId="3" applyNumberFormat="1" applyFont="1" applyFill="1" applyBorder="1" applyAlignment="1">
      <alignment horizontal="center" vertical="center" wrapText="1"/>
    </xf>
    <xf numFmtId="167" fontId="19" fillId="4" borderId="3" xfId="3" applyNumberFormat="1" applyFont="1" applyFill="1" applyBorder="1" applyAlignment="1">
      <alignment horizontal="center" vertical="center" wrapText="1"/>
    </xf>
    <xf numFmtId="165" fontId="9" fillId="0" borderId="0" xfId="0" applyNumberFormat="1" applyFont="1"/>
    <xf numFmtId="0" fontId="9" fillId="0" borderId="1" xfId="0" applyFont="1" applyBorder="1" applyAlignment="1">
      <alignment horizontal="left" indent="1"/>
    </xf>
    <xf numFmtId="0" fontId="15" fillId="0" borderId="0" xfId="0" applyFont="1" applyAlignment="1">
      <alignment horizontal="left" indent="2"/>
    </xf>
    <xf numFmtId="0" fontId="15" fillId="0" borderId="0" xfId="0" applyFont="1"/>
    <xf numFmtId="43" fontId="21" fillId="2" borderId="0" xfId="3" applyFont="1" applyFill="1" applyBorder="1"/>
    <xf numFmtId="0" fontId="15" fillId="0" borderId="9" xfId="0" applyFont="1" applyBorder="1" applyAlignment="1">
      <alignment horizontal="left" indent="2"/>
    </xf>
    <xf numFmtId="0" fontId="15" fillId="0" borderId="9" xfId="0" applyFont="1" applyBorder="1"/>
    <xf numFmtId="3" fontId="9" fillId="0" borderId="9" xfId="0" applyNumberFormat="1" applyFont="1" applyBorder="1" applyAlignment="1">
      <alignment horizontal="center"/>
    </xf>
    <xf numFmtId="3" fontId="8" fillId="0" borderId="0" xfId="0" applyNumberFormat="1" applyFont="1" applyAlignment="1">
      <alignment horizontal="center"/>
    </xf>
    <xf numFmtId="0" fontId="15" fillId="0" borderId="12" xfId="0" applyFont="1" applyBorder="1" applyAlignment="1">
      <alignment horizontal="left" indent="1"/>
    </xf>
    <xf numFmtId="0" fontId="9" fillId="0" borderId="12" xfId="0" applyFont="1" applyBorder="1"/>
    <xf numFmtId="165" fontId="15" fillId="0" borderId="12" xfId="0" applyNumberFormat="1" applyFont="1" applyBorder="1" applyAlignment="1">
      <alignment horizontal="center"/>
    </xf>
    <xf numFmtId="165" fontId="15" fillId="0" borderId="0" xfId="0" applyNumberFormat="1" applyFont="1" applyAlignment="1">
      <alignment horizontal="center"/>
    </xf>
    <xf numFmtId="0" fontId="15" fillId="0" borderId="0" xfId="0" applyFont="1" applyAlignment="1">
      <alignment horizontal="left" indent="3"/>
    </xf>
    <xf numFmtId="171" fontId="15" fillId="0" borderId="0" xfId="0" applyNumberFormat="1" applyFont="1" applyAlignment="1">
      <alignment horizontal="center"/>
    </xf>
    <xf numFmtId="1" fontId="9" fillId="0" borderId="0" xfId="0" applyNumberFormat="1" applyFont="1" applyAlignment="1">
      <alignment horizontal="center"/>
    </xf>
    <xf numFmtId="1" fontId="8" fillId="0" borderId="0" xfId="0" applyNumberFormat="1" applyFont="1" applyAlignment="1">
      <alignment horizontal="center"/>
    </xf>
    <xf numFmtId="0" fontId="15" fillId="0" borderId="2" xfId="0" applyFont="1" applyBorder="1" applyAlignment="1">
      <alignment horizontal="left" indent="1"/>
    </xf>
    <xf numFmtId="0" fontId="15" fillId="0" borderId="2" xfId="0" applyFont="1" applyBorder="1"/>
    <xf numFmtId="3" fontId="15" fillId="0" borderId="2" xfId="0" applyNumberFormat="1" applyFont="1" applyBorder="1" applyAlignment="1">
      <alignment horizontal="center"/>
    </xf>
    <xf numFmtId="0" fontId="9" fillId="0" borderId="0" xfId="0" applyFont="1" applyAlignment="1">
      <alignment horizontal="center"/>
    </xf>
    <xf numFmtId="172" fontId="15" fillId="0" borderId="0" xfId="1" applyNumberFormat="1" applyFont="1" applyBorder="1" applyAlignment="1">
      <alignment horizontal="center"/>
    </xf>
    <xf numFmtId="0" fontId="15" fillId="0" borderId="13" xfId="0" applyFont="1" applyBorder="1" applyAlignment="1">
      <alignment horizontal="left" indent="1"/>
    </xf>
    <xf numFmtId="0" fontId="9" fillId="0" borderId="13" xfId="0" applyFont="1" applyBorder="1" applyAlignment="1">
      <alignment horizontal="center"/>
    </xf>
    <xf numFmtId="172" fontId="15" fillId="0" borderId="13" xfId="1" applyNumberFormat="1" applyFont="1" applyBorder="1" applyAlignment="1">
      <alignment horizontal="center"/>
    </xf>
    <xf numFmtId="0" fontId="9" fillId="0" borderId="1" xfId="0" applyFont="1" applyBorder="1" applyAlignment="1">
      <alignment horizontal="center"/>
    </xf>
    <xf numFmtId="172" fontId="9" fillId="0" borderId="1" xfId="1" applyNumberFormat="1" applyFont="1" applyBorder="1" applyAlignment="1">
      <alignment horizontal="center"/>
    </xf>
    <xf numFmtId="0" fontId="9" fillId="0" borderId="13" xfId="0" applyFont="1" applyBorder="1"/>
    <xf numFmtId="172" fontId="9" fillId="0" borderId="13" xfId="1" applyNumberFormat="1" applyFont="1" applyBorder="1" applyAlignment="1">
      <alignment horizontal="center"/>
    </xf>
    <xf numFmtId="4" fontId="9" fillId="0" borderId="1" xfId="0" applyNumberFormat="1" applyFont="1" applyBorder="1" applyAlignment="1">
      <alignment horizontal="center"/>
    </xf>
    <xf numFmtId="2" fontId="9" fillId="0" borderId="0" xfId="0" applyNumberFormat="1" applyFont="1" applyAlignment="1">
      <alignment horizontal="center"/>
    </xf>
    <xf numFmtId="0" fontId="9" fillId="0" borderId="5" xfId="0" applyFont="1" applyBorder="1"/>
    <xf numFmtId="3" fontId="9" fillId="0" borderId="5" xfId="0" applyNumberFormat="1" applyFont="1" applyBorder="1" applyAlignment="1">
      <alignment horizontal="center"/>
    </xf>
    <xf numFmtId="0" fontId="9" fillId="0" borderId="6" xfId="0" applyFont="1" applyBorder="1"/>
    <xf numFmtId="3" fontId="15" fillId="0" borderId="6" xfId="0" applyNumberFormat="1" applyFont="1" applyBorder="1" applyAlignment="1">
      <alignment horizontal="center"/>
    </xf>
    <xf numFmtId="3" fontId="9" fillId="0" borderId="6" xfId="0" applyNumberFormat="1" applyFont="1" applyBorder="1" applyAlignment="1">
      <alignment horizontal="center"/>
    </xf>
    <xf numFmtId="3" fontId="9" fillId="0" borderId="8" xfId="0" applyNumberFormat="1" applyFont="1" applyBorder="1" applyAlignment="1">
      <alignment horizontal="center"/>
    </xf>
    <xf numFmtId="167" fontId="9" fillId="0" borderId="6" xfId="0" applyNumberFormat="1" applyFont="1" applyBorder="1" applyAlignment="1">
      <alignment horizontal="center"/>
    </xf>
    <xf numFmtId="4" fontId="9" fillId="0" borderId="6" xfId="0" applyNumberFormat="1" applyFont="1" applyBorder="1" applyAlignment="1">
      <alignment horizontal="center"/>
    </xf>
    <xf numFmtId="164" fontId="9" fillId="0" borderId="6" xfId="0" applyNumberFormat="1" applyFont="1" applyBorder="1" applyAlignment="1">
      <alignment horizontal="center"/>
    </xf>
    <xf numFmtId="0" fontId="9" fillId="0" borderId="7" xfId="0" applyFont="1" applyBorder="1"/>
    <xf numFmtId="1" fontId="9" fillId="0" borderId="7" xfId="0" applyNumberFormat="1" applyFont="1" applyBorder="1" applyAlignment="1">
      <alignment horizontal="center"/>
    </xf>
    <xf numFmtId="166" fontId="9" fillId="0" borderId="0" xfId="0" applyNumberFormat="1" applyFont="1"/>
    <xf numFmtId="167" fontId="9" fillId="0" borderId="10" xfId="0" applyNumberFormat="1" applyFont="1" applyBorder="1" applyAlignment="1">
      <alignment horizontal="center"/>
    </xf>
    <xf numFmtId="167" fontId="11" fillId="0" borderId="10" xfId="0" applyNumberFormat="1" applyFont="1" applyBorder="1" applyAlignment="1">
      <alignment horizontal="center"/>
    </xf>
    <xf numFmtId="175" fontId="9" fillId="0" borderId="0" xfId="0" applyNumberFormat="1" applyFont="1"/>
    <xf numFmtId="167" fontId="11" fillId="0" borderId="0" xfId="0" applyNumberFormat="1" applyFont="1" applyAlignment="1">
      <alignment horizontal="center"/>
    </xf>
    <xf numFmtId="43" fontId="9" fillId="0" borderId="0" xfId="0" applyNumberFormat="1" applyFont="1"/>
    <xf numFmtId="174" fontId="9" fillId="0" borderId="0" xfId="3" applyNumberFormat="1" applyFont="1"/>
    <xf numFmtId="174" fontId="9" fillId="0" borderId="0" xfId="3" applyNumberFormat="1" applyFont="1" applyAlignment="1">
      <alignment horizontal="right"/>
    </xf>
    <xf numFmtId="43" fontId="24" fillId="0" borderId="0" xfId="3" applyFont="1"/>
    <xf numFmtId="174" fontId="9" fillId="0" borderId="0" xfId="3" applyNumberFormat="1" applyFont="1" applyAlignment="1">
      <alignment horizontal="center"/>
    </xf>
    <xf numFmtId="174" fontId="9" fillId="0" borderId="0" xfId="3" applyNumberFormat="1" applyFont="1" applyFill="1" applyBorder="1"/>
    <xf numFmtId="0" fontId="25" fillId="0" borderId="0" xfId="0" applyFont="1"/>
    <xf numFmtId="43" fontId="0" fillId="0" borderId="0" xfId="0" applyNumberFormat="1"/>
    <xf numFmtId="174" fontId="9" fillId="0" borderId="0" xfId="3" applyNumberFormat="1" applyFont="1" applyFill="1"/>
    <xf numFmtId="43" fontId="24" fillId="0" borderId="0" xfId="3" applyFont="1" applyFill="1"/>
    <xf numFmtId="166" fontId="22" fillId="5" borderId="3" xfId="3" applyNumberFormat="1" applyFont="1" applyFill="1" applyBorder="1" applyAlignment="1">
      <alignment horizontal="center" vertical="center" wrapText="1"/>
    </xf>
    <xf numFmtId="0" fontId="22" fillId="5" borderId="3" xfId="3" applyNumberFormat="1" applyFont="1" applyFill="1" applyBorder="1" applyAlignment="1">
      <alignment horizontal="center" vertical="center" wrapText="1"/>
    </xf>
  </cellXfs>
  <cellStyles count="4">
    <cellStyle name="Millares" xfId="3" builtinId="3"/>
    <cellStyle name="Normal" xfId="0" builtinId="0"/>
    <cellStyle name="Normal 2" xfId="2" xr:uid="{00000000-0005-0000-0000-000002000000}"/>
    <cellStyle name="Porcentaje" xfId="1" builtinId="5"/>
  </cellStyles>
  <dxfs count="0"/>
  <tableStyles count="0" defaultTableStyle="TableStyleMedium2" defaultPivotStyle="PivotStyleLight16"/>
  <colors>
    <mruColors>
      <color rgb="FF00573B"/>
      <color rgb="FFFFA500"/>
      <color rgb="FF62CF52"/>
      <color rgb="FFC6E0B4"/>
      <color rgb="FF2C9065"/>
      <color rgb="FFE2EF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9" Type="http://schemas.openxmlformats.org/officeDocument/2006/relationships/sharedStrings" Target="sharedStrings.xml"/><Relationship Id="rId21" Type="http://schemas.openxmlformats.org/officeDocument/2006/relationships/externalLink" Target="externalLinks/externalLink17.xml"/><Relationship Id="rId34" Type="http://schemas.openxmlformats.org/officeDocument/2006/relationships/externalLink" Target="externalLinks/externalLink30.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externalLink" Target="externalLinks/externalLink25.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externalLink" Target="externalLinks/externalLink27.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8" Type="http://schemas.openxmlformats.org/officeDocument/2006/relationships/externalLink" Target="externalLinks/externalLink4.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3" Type="http://schemas.openxmlformats.org/officeDocument/2006/relationships/hyperlink" Target="#'2. EBITDA Price 2017-25'!A1"/><Relationship Id="rId2" Type="http://schemas.openxmlformats.org/officeDocument/2006/relationships/hyperlink" Target="#'1. Total Cash Cost Evolution '!A1"/><Relationship Id="rId1" Type="http://schemas.openxmlformats.org/officeDocument/2006/relationships/image" Target="../media/image1.jpeg"/><Relationship Id="rId5" Type="http://schemas.openxmlformats.org/officeDocument/2006/relationships/image" Target="../media/image2.png"/><Relationship Id="rId4" Type="http://schemas.openxmlformats.org/officeDocument/2006/relationships/hyperlink" Target="#'3. EBITDA Calculation'!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1" Type="http://schemas.openxmlformats.org/officeDocument/2006/relationships/hyperlink" Target="#Cover!A1"/></Relationships>
</file>

<file path=xl/drawings/_rels/drawing4.xml.rels><?xml version="1.0" encoding="UTF-8" standalone="yes"?>
<Relationships xmlns="http://schemas.openxmlformats.org/package/2006/relationships"><Relationship Id="rId1" Type="http://schemas.openxmlformats.org/officeDocument/2006/relationships/hyperlink" Target="#Cover!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57833</xdr:colOff>
      <xdr:row>35</xdr:row>
      <xdr:rowOff>54429</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923262" cy="6404429"/>
        </a:xfrm>
        <a:prstGeom prst="rect">
          <a:avLst/>
        </a:prstGeom>
      </xdr:spPr>
    </xdr:pic>
    <xdr:clientData/>
  </xdr:twoCellAnchor>
  <xdr:twoCellAnchor>
    <xdr:from>
      <xdr:col>0</xdr:col>
      <xdr:colOff>10583</xdr:colOff>
      <xdr:row>0</xdr:row>
      <xdr:rowOff>0</xdr:rowOff>
    </xdr:from>
    <xdr:to>
      <xdr:col>15</xdr:col>
      <xdr:colOff>40821</xdr:colOff>
      <xdr:row>0</xdr:row>
      <xdr:rowOff>2</xdr:rowOff>
    </xdr:to>
    <xdr:sp macro="" textlink="">
      <xdr:nvSpPr>
        <xdr:cNvPr id="3" name="Rectángulo 2">
          <a:extLst>
            <a:ext uri="{FF2B5EF4-FFF2-40B4-BE49-F238E27FC236}">
              <a16:creationId xmlns:a16="http://schemas.microsoft.com/office/drawing/2014/main" id="{00000000-0008-0000-0000-000003000000}"/>
            </a:ext>
          </a:extLst>
        </xdr:cNvPr>
        <xdr:cNvSpPr/>
      </xdr:nvSpPr>
      <xdr:spPr>
        <a:xfrm flipV="1">
          <a:off x="10583" y="0"/>
          <a:ext cx="11895667" cy="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0</xdr:col>
      <xdr:colOff>551185</xdr:colOff>
      <xdr:row>5</xdr:row>
      <xdr:rowOff>42336</xdr:rowOff>
    </xdr:from>
    <xdr:to>
      <xdr:col>5</xdr:col>
      <xdr:colOff>771071</xdr:colOff>
      <xdr:row>8</xdr:row>
      <xdr:rowOff>88901</xdr:rowOff>
    </xdr:to>
    <xdr:sp macro="" textlink="">
      <xdr:nvSpPr>
        <xdr:cNvPr id="5" name="CuadroTexto 4">
          <a:hlinkClick xmlns:r="http://schemas.openxmlformats.org/officeDocument/2006/relationships" r:id="rId2"/>
          <a:extLst>
            <a:ext uri="{FF2B5EF4-FFF2-40B4-BE49-F238E27FC236}">
              <a16:creationId xmlns:a16="http://schemas.microsoft.com/office/drawing/2014/main" id="{00000000-0008-0000-0000-000005000000}"/>
            </a:ext>
          </a:extLst>
        </xdr:cNvPr>
        <xdr:cNvSpPr txBox="1"/>
      </xdr:nvSpPr>
      <xdr:spPr>
        <a:xfrm>
          <a:off x="551185" y="949479"/>
          <a:ext cx="4256672"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1. TOTAL CASH COST EVOLUTION</a:t>
          </a:r>
        </a:p>
      </xdr:txBody>
    </xdr:sp>
    <xdr:clientData/>
  </xdr:twoCellAnchor>
  <xdr:twoCellAnchor>
    <xdr:from>
      <xdr:col>0</xdr:col>
      <xdr:colOff>537578</xdr:colOff>
      <xdr:row>10</xdr:row>
      <xdr:rowOff>43811</xdr:rowOff>
    </xdr:from>
    <xdr:to>
      <xdr:col>5</xdr:col>
      <xdr:colOff>789213</xdr:colOff>
      <xdr:row>13</xdr:row>
      <xdr:rowOff>90376</xdr:rowOff>
    </xdr:to>
    <xdr:sp macro="" textlink="">
      <xdr:nvSpPr>
        <xdr:cNvPr id="7" name="CuadroTexto 6">
          <a:hlinkClick xmlns:r="http://schemas.openxmlformats.org/officeDocument/2006/relationships" r:id="rId3"/>
          <a:extLst>
            <a:ext uri="{FF2B5EF4-FFF2-40B4-BE49-F238E27FC236}">
              <a16:creationId xmlns:a16="http://schemas.microsoft.com/office/drawing/2014/main" id="{00000000-0008-0000-0000-000007000000}"/>
            </a:ext>
          </a:extLst>
        </xdr:cNvPr>
        <xdr:cNvSpPr txBox="1"/>
      </xdr:nvSpPr>
      <xdr:spPr>
        <a:xfrm>
          <a:off x="537578" y="1858097"/>
          <a:ext cx="4288421" cy="59085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2. EBITDA PRICE 2017-2025</a:t>
          </a:r>
        </a:p>
      </xdr:txBody>
    </xdr:sp>
    <xdr:clientData/>
  </xdr:twoCellAnchor>
  <xdr:twoCellAnchor>
    <xdr:from>
      <xdr:col>0</xdr:col>
      <xdr:colOff>537587</xdr:colOff>
      <xdr:row>15</xdr:row>
      <xdr:rowOff>604</xdr:rowOff>
    </xdr:from>
    <xdr:to>
      <xdr:col>5</xdr:col>
      <xdr:colOff>807356</xdr:colOff>
      <xdr:row>18</xdr:row>
      <xdr:rowOff>47169</xdr:rowOff>
    </xdr:to>
    <xdr:sp macro="" textlink="">
      <xdr:nvSpPr>
        <xdr:cNvPr id="8" name="CuadroTexto 7">
          <a:hlinkClick xmlns:r="http://schemas.openxmlformats.org/officeDocument/2006/relationships" r:id="rId4"/>
          <a:extLst>
            <a:ext uri="{FF2B5EF4-FFF2-40B4-BE49-F238E27FC236}">
              <a16:creationId xmlns:a16="http://schemas.microsoft.com/office/drawing/2014/main" id="{00000000-0008-0000-0000-000008000000}"/>
            </a:ext>
          </a:extLst>
        </xdr:cNvPr>
        <xdr:cNvSpPr txBox="1"/>
      </xdr:nvSpPr>
      <xdr:spPr>
        <a:xfrm>
          <a:off x="537587" y="2722033"/>
          <a:ext cx="4306555" cy="59085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3. EBITDA CALCULATION</a:t>
          </a:r>
        </a:p>
      </xdr:txBody>
    </xdr:sp>
    <xdr:clientData/>
  </xdr:twoCellAnchor>
  <xdr:twoCellAnchor editAs="oneCell">
    <xdr:from>
      <xdr:col>0</xdr:col>
      <xdr:colOff>178131</xdr:colOff>
      <xdr:row>0</xdr:row>
      <xdr:rowOff>46182</xdr:rowOff>
    </xdr:from>
    <xdr:to>
      <xdr:col>3</xdr:col>
      <xdr:colOff>741383</xdr:colOff>
      <xdr:row>4</xdr:row>
      <xdr:rowOff>18972</xdr:rowOff>
    </xdr:to>
    <xdr:pic>
      <xdr:nvPicPr>
        <xdr:cNvPr id="6" name="Imagen 5">
          <a:extLst>
            <a:ext uri="{FF2B5EF4-FFF2-40B4-BE49-F238E27FC236}">
              <a16:creationId xmlns:a16="http://schemas.microsoft.com/office/drawing/2014/main" id="{54EA3C9A-B5B2-1FA6-A219-4B75F3A9216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78131" y="46182"/>
          <a:ext cx="2987797" cy="711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114300</xdr:colOff>
      <xdr:row>2</xdr:row>
      <xdr:rowOff>1</xdr:rowOff>
    </xdr:from>
    <xdr:to>
      <xdr:col>1</xdr:col>
      <xdr:colOff>2044699</xdr:colOff>
      <xdr:row>4</xdr:row>
      <xdr:rowOff>12700</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00000000-0008-0000-0100-000002000000}"/>
            </a:ext>
          </a:extLst>
        </xdr:cNvPr>
        <xdr:cNvSpPr txBox="1"/>
      </xdr:nvSpPr>
      <xdr:spPr>
        <a:xfrm>
          <a:off x="114300" y="533401"/>
          <a:ext cx="2070099" cy="393699"/>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305274</xdr:colOff>
      <xdr:row>10</xdr:row>
      <xdr:rowOff>198620</xdr:rowOff>
    </xdr:from>
    <xdr:to>
      <xdr:col>13</xdr:col>
      <xdr:colOff>415635</xdr:colOff>
      <xdr:row>46</xdr:row>
      <xdr:rowOff>69242</xdr:rowOff>
    </xdr:to>
    <xdr:sp macro="" textlink="">
      <xdr:nvSpPr>
        <xdr:cNvPr id="2" name="Triángulo isósceles 1">
          <a:extLst>
            <a:ext uri="{FF2B5EF4-FFF2-40B4-BE49-F238E27FC236}">
              <a16:creationId xmlns:a16="http://schemas.microsoft.com/office/drawing/2014/main" id="{00000000-0008-0000-0200-000002000000}"/>
            </a:ext>
          </a:extLst>
        </xdr:cNvPr>
        <xdr:cNvSpPr/>
      </xdr:nvSpPr>
      <xdr:spPr>
        <a:xfrm rot="5400000">
          <a:off x="10977689" y="5632114"/>
          <a:ext cx="7352077" cy="826179"/>
        </a:xfrm>
        <a:prstGeom prst="triangle">
          <a:avLst>
            <a:gd name="adj" fmla="val 48741"/>
          </a:avLst>
        </a:prstGeom>
        <a:solidFill>
          <a:srgbClr val="00573B"/>
        </a:solidFill>
        <a:ln>
          <a:solidFill>
            <a:srgbClr val="004C16"/>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s-A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xdr:col>
      <xdr:colOff>56030</xdr:colOff>
      <xdr:row>2</xdr:row>
      <xdr:rowOff>0</xdr:rowOff>
    </xdr:from>
    <xdr:to>
      <xdr:col>1</xdr:col>
      <xdr:colOff>1913217</xdr:colOff>
      <xdr:row>4</xdr:row>
      <xdr:rowOff>12699</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200-000003000000}"/>
            </a:ext>
          </a:extLst>
        </xdr:cNvPr>
        <xdr:cNvSpPr txBox="1"/>
      </xdr:nvSpPr>
      <xdr:spPr>
        <a:xfrm>
          <a:off x="212912" y="537882"/>
          <a:ext cx="1857187" cy="393699"/>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145676</xdr:colOff>
      <xdr:row>2</xdr:row>
      <xdr:rowOff>0</xdr:rowOff>
    </xdr:from>
    <xdr:to>
      <xdr:col>2</xdr:col>
      <xdr:colOff>11205</xdr:colOff>
      <xdr:row>3</xdr:row>
      <xdr:rowOff>219075</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00000000-0008-0000-0300-000002000000}"/>
            </a:ext>
          </a:extLst>
        </xdr:cNvPr>
        <xdr:cNvSpPr txBox="1"/>
      </xdr:nvSpPr>
      <xdr:spPr>
        <a:xfrm>
          <a:off x="302558" y="537882"/>
          <a:ext cx="2229971" cy="40957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row r="4">
          <cell r="R4" t="str">
            <v>EBITDA Bridge</v>
          </cell>
        </row>
      </sheetData>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row r="7">
          <cell r="D7" t="str">
            <v>FY05A</v>
          </cell>
        </row>
      </sheetData>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ow r="4">
          <cell r="R4" t="str">
            <v>EBITDA Bridge</v>
          </cell>
        </row>
      </sheetData>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ow r="7">
          <cell r="D7" t="str">
            <v>FY05A</v>
          </cell>
        </row>
      </sheetData>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row r="4">
          <cell r="R4" t="str">
            <v>EBITDA Bridge</v>
          </cell>
        </row>
      </sheetData>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row r="7">
          <cell r="D7" t="str">
            <v>FY05A</v>
          </cell>
        </row>
      </sheetData>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row r="4">
          <cell r="R4" t="str">
            <v>EBITDA Bridge</v>
          </cell>
        </row>
      </sheetData>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row r="7">
          <cell r="D7" t="str">
            <v>FY05A</v>
          </cell>
        </row>
      </sheetData>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refreshError="1"/>
      <sheetData sheetId="597"/>
      <sheetData sheetId="598"/>
      <sheetData sheetId="599"/>
      <sheetData sheetId="600"/>
      <sheetData sheetId="601"/>
      <sheetData sheetId="602"/>
      <sheetData sheetId="603">
        <row r="4">
          <cell r="R4" t="str">
            <v>EBITDA Bridge</v>
          </cell>
        </row>
      </sheetData>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row r="7">
          <cell r="D7" t="str">
            <v>FY05A</v>
          </cell>
        </row>
      </sheetData>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ow r="7">
          <cell r="K7">
            <v>3.81</v>
          </cell>
        </row>
      </sheetData>
      <sheetData sheetId="1">
        <row r="10">
          <cell r="C10">
            <v>10.196008969478845</v>
          </cell>
        </row>
      </sheetData>
      <sheetData sheetId="2">
        <row r="9">
          <cell r="Q9">
            <v>0</v>
          </cell>
        </row>
      </sheetData>
      <sheetData sheetId="3"/>
      <sheetData sheetId="4">
        <row r="47">
          <cell r="C47">
            <v>-188403.28080000001</v>
          </cell>
        </row>
      </sheetData>
      <sheetData sheetId="5"/>
      <sheetData sheetId="6">
        <row r="4">
          <cell r="E4">
            <v>3.81</v>
          </cell>
        </row>
      </sheetData>
      <sheetData sheetId="7"/>
      <sheetData sheetId="8"/>
      <sheetData sheetId="9"/>
      <sheetData sheetId="10">
        <row r="9">
          <cell r="AQ9">
            <v>2282.0467744824041</v>
          </cell>
        </row>
      </sheetData>
      <sheetData sheetId="11">
        <row r="233">
          <cell r="M233">
            <v>-15838134.176191906</v>
          </cell>
        </row>
      </sheetData>
      <sheetData sheetId="12"/>
      <sheetData sheetId="13">
        <row r="540">
          <cell r="AC540">
            <v>48791555.290345609</v>
          </cell>
        </row>
      </sheetData>
      <sheetData sheetId="14"/>
      <sheetData sheetId="15"/>
      <sheetData sheetId="16"/>
      <sheetData sheetId="17"/>
      <sheetData sheetId="18"/>
      <sheetData sheetId="19"/>
      <sheetData sheetId="20"/>
      <sheetData sheetId="21">
        <row r="7">
          <cell r="C7">
            <v>163</v>
          </cell>
        </row>
      </sheetData>
      <sheetData sheetId="22">
        <row r="7">
          <cell r="C7">
            <v>147</v>
          </cell>
        </row>
      </sheetData>
      <sheetData sheetId="23">
        <row r="7">
          <cell r="C7">
            <v>147</v>
          </cell>
        </row>
      </sheetData>
      <sheetData sheetId="24">
        <row r="7">
          <cell r="C7">
            <v>120</v>
          </cell>
        </row>
      </sheetData>
      <sheetData sheetId="25">
        <row r="7">
          <cell r="C7">
            <v>97</v>
          </cell>
        </row>
      </sheetData>
      <sheetData sheetId="26">
        <row r="7">
          <cell r="C7">
            <v>101.99999999999999</v>
          </cell>
        </row>
      </sheetData>
      <sheetData sheetId="27">
        <row r="7">
          <cell r="C7">
            <v>252.99999999999997</v>
          </cell>
        </row>
      </sheetData>
      <sheetData sheetId="28">
        <row r="7">
          <cell r="C7">
            <v>232</v>
          </cell>
        </row>
      </sheetData>
      <sheetData sheetId="29">
        <row r="7">
          <cell r="C7">
            <v>126.99999999999987</v>
          </cell>
        </row>
      </sheetData>
      <sheetData sheetId="30">
        <row r="7">
          <cell r="C7">
            <v>120</v>
          </cell>
        </row>
      </sheetData>
      <sheetData sheetId="31">
        <row r="7">
          <cell r="C7">
            <v>126.99999999999999</v>
          </cell>
        </row>
      </sheetData>
      <sheetData sheetId="32">
        <row r="7">
          <cell r="C7">
            <v>120</v>
          </cell>
        </row>
      </sheetData>
      <sheetData sheetId="33">
        <row r="7">
          <cell r="C7">
            <v>220.99999999999997</v>
          </cell>
        </row>
      </sheetData>
      <sheetData sheetId="34">
        <row r="7">
          <cell r="C7">
            <v>200</v>
          </cell>
        </row>
      </sheetData>
      <sheetData sheetId="35">
        <row r="7">
          <cell r="C7">
            <v>235.00000000000003</v>
          </cell>
        </row>
      </sheetData>
      <sheetData sheetId="36">
        <row r="7">
          <cell r="C7">
            <v>225.00000000000006</v>
          </cell>
        </row>
      </sheetData>
      <sheetData sheetId="37">
        <row r="7">
          <cell r="C7">
            <v>234.99999999999994</v>
          </cell>
        </row>
      </sheetData>
      <sheetData sheetId="38">
        <row r="7">
          <cell r="C7">
            <v>225</v>
          </cell>
        </row>
      </sheetData>
      <sheetData sheetId="39">
        <row r="7">
          <cell r="C7">
            <v>239.70392260106127</v>
          </cell>
        </row>
      </sheetData>
      <sheetData sheetId="40">
        <row r="7">
          <cell r="C7">
            <v>215</v>
          </cell>
        </row>
      </sheetData>
      <sheetData sheetId="41"/>
      <sheetData sheetId="42"/>
      <sheetData sheetId="43">
        <row r="7">
          <cell r="C7">
            <v>163</v>
          </cell>
        </row>
      </sheetData>
      <sheetData sheetId="44">
        <row r="7">
          <cell r="C7">
            <v>147</v>
          </cell>
        </row>
      </sheetData>
      <sheetData sheetId="45">
        <row r="7">
          <cell r="C7">
            <v>96.999999999999986</v>
          </cell>
        </row>
      </sheetData>
      <sheetData sheetId="46">
        <row r="7">
          <cell r="C7">
            <v>102</v>
          </cell>
        </row>
      </sheetData>
      <sheetData sheetId="47">
        <row r="7">
          <cell r="C7">
            <v>253</v>
          </cell>
        </row>
      </sheetData>
      <sheetData sheetId="48">
        <row r="7">
          <cell r="C7">
            <v>232.00000000000003</v>
          </cell>
        </row>
      </sheetData>
      <sheetData sheetId="49">
        <row r="7">
          <cell r="C7">
            <v>127.00000000000003</v>
          </cell>
        </row>
      </sheetData>
      <sheetData sheetId="50">
        <row r="7">
          <cell r="C7">
            <v>119.99999999999999</v>
          </cell>
        </row>
      </sheetData>
      <sheetData sheetId="51">
        <row r="7">
          <cell r="C7">
            <v>221</v>
          </cell>
        </row>
      </sheetData>
      <sheetData sheetId="52">
        <row r="7">
          <cell r="C7">
            <v>200</v>
          </cell>
        </row>
      </sheetData>
      <sheetData sheetId="53">
        <row r="7">
          <cell r="C7">
            <v>235</v>
          </cell>
        </row>
      </sheetData>
      <sheetData sheetId="54">
        <row r="7">
          <cell r="C7">
            <v>224.99999999999997</v>
          </cell>
        </row>
      </sheetData>
      <sheetData sheetId="55">
        <row r="7">
          <cell r="C7">
            <v>235</v>
          </cell>
        </row>
      </sheetData>
      <sheetData sheetId="56">
        <row r="7">
          <cell r="C7">
            <v>225.00000000000003</v>
          </cell>
        </row>
      </sheetData>
      <sheetData sheetId="57">
        <row r="7">
          <cell r="C7">
            <v>239.70392260106124</v>
          </cell>
        </row>
      </sheetData>
      <sheetData sheetId="58">
        <row r="7">
          <cell r="C7">
            <v>215</v>
          </cell>
        </row>
      </sheetData>
      <sheetData sheetId="59"/>
      <sheetData sheetId="60"/>
      <sheetData sheetId="61"/>
      <sheetData sheetId="62"/>
      <sheetData sheetId="63"/>
      <sheetData sheetId="64"/>
      <sheetData sheetId="6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sheetData sheetId="1"/>
      <sheetData sheetId="2"/>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tabSelected="1" view="pageBreakPreview" zoomScale="55" zoomScaleNormal="80" zoomScaleSheetLayoutView="55" workbookViewId="0"/>
  </sheetViews>
  <sheetFormatPr baseColWidth="10" defaultColWidth="11.54296875" defaultRowHeight="14.5" x14ac:dyDescent="0.35"/>
  <cols>
    <col min="15" max="15" width="8" customWidth="1"/>
  </cols>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91"/>
  <sheetViews>
    <sheetView showGridLines="0" zoomScale="53" zoomScaleNormal="53" zoomScaleSheetLayoutView="85" workbookViewId="0"/>
  </sheetViews>
  <sheetFormatPr baseColWidth="10" defaultColWidth="11.36328125" defaultRowHeight="14.5" outlineLevelCol="1" x14ac:dyDescent="0.35"/>
  <cols>
    <col min="1" max="1" width="2.08984375" style="2" bestFit="1" customWidth="1"/>
    <col min="2" max="2" width="47.36328125" style="2" customWidth="1"/>
    <col min="3" max="4" width="11.36328125" style="2" customWidth="1"/>
    <col min="5" max="5" width="13.81640625" style="2" customWidth="1"/>
    <col min="6" max="6" width="1.90625" style="2" customWidth="1"/>
    <col min="7" max="9" width="11.36328125" style="2" customWidth="1"/>
    <col min="10" max="10" width="1.90625" style="2" customWidth="1"/>
    <col min="11" max="11" width="13.81640625" style="2" customWidth="1"/>
    <col min="12" max="12" width="14" style="2" customWidth="1"/>
    <col min="13" max="13" width="11.36328125" style="2" customWidth="1"/>
    <col min="14" max="14" width="1.90625" style="2" customWidth="1"/>
    <col min="15" max="15" width="13.81640625" style="2" customWidth="1"/>
    <col min="16" max="16" width="14" style="2" customWidth="1"/>
    <col min="17" max="17" width="11.36328125" style="2" customWidth="1"/>
    <col min="18" max="18" width="1.90625" style="2" customWidth="1"/>
    <col min="19" max="21" width="11.36328125" style="2" customWidth="1"/>
    <col min="22" max="22" width="1.90625" style="2" customWidth="1"/>
    <col min="23" max="25" width="11.36328125" style="2"/>
    <col min="26" max="26" width="1.90625" style="2" customWidth="1"/>
    <col min="27" max="29" width="11.36328125" style="2"/>
    <col min="30" max="30" width="1.90625" style="2" customWidth="1"/>
    <col min="31" max="31" width="14.36328125" style="2" bestFit="1" customWidth="1"/>
    <col min="32" max="33" width="11.453125" style="2" bestFit="1" customWidth="1"/>
    <col min="34" max="34" width="1.90625" style="2" customWidth="1"/>
    <col min="35" max="35" width="13.81640625" style="2" bestFit="1" customWidth="1"/>
    <col min="36" max="37" width="11.453125" style="2" bestFit="1" customWidth="1"/>
    <col min="38" max="38" width="1.90625" style="2" customWidth="1"/>
    <col min="39" max="39" width="13.81640625" style="2" bestFit="1" customWidth="1"/>
    <col min="40" max="41" width="11.453125" style="2" bestFit="1" customWidth="1"/>
    <col min="42" max="42" width="1.90625" style="2" customWidth="1"/>
    <col min="43" max="43" width="11.36328125" style="2"/>
    <col min="44" max="46" width="15" style="2" bestFit="1" customWidth="1"/>
    <col min="47" max="47" width="11.36328125" style="2"/>
    <col min="48" max="50" width="15" style="2" bestFit="1" customWidth="1"/>
    <col min="51" max="53" width="11.36328125" style="2"/>
    <col min="54" max="54" width="2.36328125" style="2" customWidth="1"/>
    <col min="55" max="57" width="11.36328125" style="2" hidden="1" customWidth="1" outlineLevel="1"/>
    <col min="58" max="58" width="11.36328125" style="2" collapsed="1"/>
    <col min="59" max="16384" width="11.36328125" style="2"/>
  </cols>
  <sheetData>
    <row r="1" spans="1:57" ht="30.5" thickBot="1" x14ac:dyDescent="0.85">
      <c r="A1" s="7"/>
      <c r="B1" s="10" t="s">
        <v>114</v>
      </c>
      <c r="C1" s="7"/>
      <c r="D1" s="7"/>
      <c r="E1" s="7"/>
      <c r="F1" s="7"/>
      <c r="G1" s="7"/>
      <c r="H1" s="7"/>
      <c r="I1" s="7"/>
      <c r="J1" s="7"/>
      <c r="K1" s="7"/>
      <c r="L1" s="7"/>
      <c r="M1" s="7"/>
      <c r="N1" s="7"/>
      <c r="O1" s="7"/>
      <c r="P1" s="7"/>
      <c r="Q1" s="7"/>
      <c r="R1" s="8"/>
      <c r="S1" s="8"/>
      <c r="T1" s="8"/>
      <c r="U1" s="8"/>
      <c r="V1" s="8"/>
      <c r="W1" s="8"/>
      <c r="X1" s="8"/>
      <c r="Y1" s="8"/>
      <c r="Z1" s="8"/>
      <c r="AA1" s="8"/>
      <c r="AB1" s="8"/>
      <c r="AC1" s="8"/>
      <c r="AD1" s="8"/>
      <c r="AE1" s="8"/>
      <c r="AF1" s="8"/>
      <c r="AG1" s="8"/>
      <c r="AH1" s="8"/>
      <c r="AI1" s="8"/>
      <c r="AJ1" s="8"/>
      <c r="AK1" s="8"/>
      <c r="AL1" s="8"/>
      <c r="AM1" s="8"/>
      <c r="AN1" s="8"/>
      <c r="AO1" s="8"/>
      <c r="AP1" s="8"/>
      <c r="AQ1" s="7"/>
      <c r="AR1" s="7"/>
      <c r="AS1" s="7"/>
      <c r="AT1" s="7"/>
      <c r="AU1" s="7"/>
      <c r="AV1" s="7"/>
      <c r="AW1" s="7"/>
      <c r="AX1" s="7"/>
      <c r="AY1" s="7"/>
      <c r="AZ1" s="7"/>
      <c r="BA1" s="7"/>
      <c r="BB1" s="7"/>
    </row>
    <row r="6" spans="1:57" ht="16.5" x14ac:dyDescent="0.45">
      <c r="B6" s="11" t="s">
        <v>105</v>
      </c>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row>
    <row r="7" spans="1:57" ht="16.5" x14ac:dyDescent="0.45">
      <c r="B7" s="13" t="s">
        <v>110</v>
      </c>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row>
    <row r="8" spans="1:57" ht="16.5" x14ac:dyDescent="0.45">
      <c r="B8" s="13" t="s">
        <v>111</v>
      </c>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row>
    <row r="9" spans="1:57" ht="16.5" x14ac:dyDescent="0.45">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row>
    <row r="10" spans="1:57" ht="16.5" x14ac:dyDescent="0.45">
      <c r="A10" s="6" t="s">
        <v>2</v>
      </c>
      <c r="B10" s="58" t="s">
        <v>99</v>
      </c>
      <c r="C10" s="59" t="s">
        <v>96</v>
      </c>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BD10" s="9" t="s">
        <v>35</v>
      </c>
      <c r="BE10" s="9" t="s">
        <v>35</v>
      </c>
    </row>
    <row r="11" spans="1:57" ht="16.5" x14ac:dyDescent="0.45">
      <c r="B11" s="60" t="s">
        <v>101</v>
      </c>
      <c r="C11" s="61" t="s">
        <v>35</v>
      </c>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BD11" s="9" t="s">
        <v>96</v>
      </c>
      <c r="BE11" s="9" t="s">
        <v>100</v>
      </c>
    </row>
    <row r="12" spans="1:57" ht="16.5" x14ac:dyDescent="0.45">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BD12" s="9" t="s">
        <v>100</v>
      </c>
      <c r="BE12" s="9" t="s">
        <v>100</v>
      </c>
    </row>
    <row r="13" spans="1:57" ht="16.5" x14ac:dyDescent="0.45">
      <c r="A13" s="6" t="s">
        <v>2</v>
      </c>
      <c r="B13" s="71" t="s">
        <v>19</v>
      </c>
      <c r="C13" s="72">
        <v>2016</v>
      </c>
      <c r="D13" s="72">
        <v>2017</v>
      </c>
      <c r="E13" s="72">
        <v>2018</v>
      </c>
      <c r="F13" s="72"/>
      <c r="G13" s="72">
        <v>2019</v>
      </c>
      <c r="H13" s="72">
        <v>2020</v>
      </c>
      <c r="I13" s="72">
        <v>2021</v>
      </c>
      <c r="J13" s="72"/>
      <c r="K13" s="72">
        <v>2022</v>
      </c>
      <c r="L13" s="72">
        <v>2023</v>
      </c>
      <c r="M13" s="72">
        <v>2024</v>
      </c>
      <c r="N13" s="72"/>
      <c r="O13" s="72">
        <v>2025</v>
      </c>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BC13" s="3"/>
    </row>
    <row r="14" spans="1:57" ht="16.5" x14ac:dyDescent="0.45">
      <c r="B14" s="14" t="s">
        <v>20</v>
      </c>
      <c r="C14" s="15">
        <v>11114.508539999999</v>
      </c>
      <c r="D14" s="15">
        <v>10241.802530000001</v>
      </c>
      <c r="E14" s="16">
        <v>11359.20361</v>
      </c>
      <c r="F14" s="12"/>
      <c r="G14" s="17">
        <v>10845.135890000001</v>
      </c>
      <c r="H14" s="17">
        <v>11103.200080000001</v>
      </c>
      <c r="I14" s="17">
        <v>10940.3066</v>
      </c>
      <c r="J14" s="12"/>
      <c r="K14" s="17">
        <v>10484.88847</v>
      </c>
      <c r="L14" s="17">
        <v>12497.422690000001</v>
      </c>
      <c r="M14" s="17">
        <v>12762.596710000002</v>
      </c>
      <c r="N14" s="17"/>
      <c r="O14" s="17">
        <v>12145.21249</v>
      </c>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row>
    <row r="15" spans="1:57" ht="16.5" x14ac:dyDescent="0.45">
      <c r="B15" s="12" t="s">
        <v>21</v>
      </c>
      <c r="C15" s="18">
        <v>127.34782170658501</v>
      </c>
      <c r="D15" s="18">
        <v>127.01385275342722</v>
      </c>
      <c r="E15" s="18">
        <v>127.61692361399639</v>
      </c>
      <c r="F15" s="12"/>
      <c r="G15" s="62">
        <v>132.92952630837109</v>
      </c>
      <c r="H15" s="62">
        <v>131.52127776976133</v>
      </c>
      <c r="I15" s="62">
        <v>127.83652084277199</v>
      </c>
      <c r="J15" s="12"/>
      <c r="K15" s="62">
        <v>130.67328320313459</v>
      </c>
      <c r="L15" s="62">
        <v>131.64490271102522</v>
      </c>
      <c r="M15" s="62">
        <v>132.38430490032741</v>
      </c>
      <c r="N15" s="62"/>
      <c r="O15" s="62">
        <v>127.49717139183304</v>
      </c>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row>
    <row r="16" spans="1:57" ht="16.5" x14ac:dyDescent="0.45">
      <c r="B16" s="12" t="s">
        <v>22</v>
      </c>
      <c r="C16" s="18">
        <v>2.2046220000000001</v>
      </c>
      <c r="D16" s="18">
        <v>2.2046220000000001</v>
      </c>
      <c r="E16" s="18">
        <v>2.2046220000000001</v>
      </c>
      <c r="F16" s="12"/>
      <c r="G16" s="62">
        <v>2.2046220000000001</v>
      </c>
      <c r="H16" s="62">
        <v>2.2046220000000001</v>
      </c>
      <c r="I16" s="62">
        <v>2.2046220000000001</v>
      </c>
      <c r="J16" s="12"/>
      <c r="K16" s="62">
        <v>2.2046220000000001</v>
      </c>
      <c r="L16" s="62">
        <v>2.2046220000000001</v>
      </c>
      <c r="M16" s="62">
        <v>2.2046220000000001</v>
      </c>
      <c r="N16" s="62"/>
      <c r="O16" s="62">
        <v>2.2046220000000001</v>
      </c>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row>
    <row r="17" spans="1:53" ht="16.5" x14ac:dyDescent="0.45">
      <c r="B17" s="63" t="s">
        <v>23</v>
      </c>
      <c r="C17" s="64">
        <v>0.9566631589017508</v>
      </c>
      <c r="D17" s="64">
        <v>0.9566631589017508</v>
      </c>
      <c r="E17" s="64">
        <v>0.9566631589017508</v>
      </c>
      <c r="F17" s="63"/>
      <c r="G17" s="65">
        <v>0.9566631589017508</v>
      </c>
      <c r="H17" s="65">
        <v>0.9566631589017508</v>
      </c>
      <c r="I17" s="65">
        <v>0.9566631589017508</v>
      </c>
      <c r="J17" s="63"/>
      <c r="K17" s="65">
        <v>0.9566631589017508</v>
      </c>
      <c r="L17" s="65">
        <v>0.9566631589017508</v>
      </c>
      <c r="M17" s="65">
        <v>0.9566631589017508</v>
      </c>
      <c r="N17" s="65"/>
      <c r="O17" s="65">
        <v>0.9566631589017508</v>
      </c>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row>
    <row r="18" spans="1:53" ht="16.5" x14ac:dyDescent="0.45">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row>
    <row r="19" spans="1:53" ht="16.5" x14ac:dyDescent="0.45">
      <c r="A19" s="6" t="s">
        <v>2</v>
      </c>
      <c r="B19" s="71" t="s">
        <v>98</v>
      </c>
      <c r="C19" s="72"/>
      <c r="D19" s="19"/>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row>
    <row r="20" spans="1:53" ht="16.5" x14ac:dyDescent="0.45">
      <c r="B20" s="14" t="s">
        <v>64</v>
      </c>
      <c r="C20" s="20">
        <v>0.8</v>
      </c>
      <c r="D20" s="12"/>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row>
    <row r="21" spans="1:53" ht="16.5" x14ac:dyDescent="0.45">
      <c r="B21" s="12" t="s">
        <v>119</v>
      </c>
      <c r="C21" s="66">
        <v>0.8</v>
      </c>
      <c r="D21" s="12"/>
      <c r="E21" s="12"/>
      <c r="F21" s="12"/>
      <c r="G21" s="12"/>
      <c r="H21" s="12"/>
      <c r="I21" s="16"/>
      <c r="J21" s="12"/>
      <c r="K21" s="16"/>
      <c r="L21" s="12"/>
      <c r="M21" s="12"/>
      <c r="N21" s="12"/>
      <c r="O21" s="16"/>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row>
    <row r="22" spans="1:53" ht="16.5" x14ac:dyDescent="0.45">
      <c r="B22" s="67" t="s">
        <v>35</v>
      </c>
      <c r="C22" s="68">
        <v>0.25</v>
      </c>
      <c r="D22" s="12"/>
      <c r="E22" s="12"/>
      <c r="F22" s="12"/>
      <c r="G22" s="12"/>
      <c r="H22" s="12"/>
      <c r="I22" s="16"/>
      <c r="J22" s="12"/>
      <c r="K22" s="16"/>
      <c r="L22" s="12"/>
      <c r="M22" s="12"/>
      <c r="N22" s="12"/>
      <c r="O22" s="16"/>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row>
    <row r="23" spans="1:53" ht="16.5" x14ac:dyDescent="0.45">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row>
    <row r="24" spans="1:53" ht="16.5" customHeight="1" x14ac:dyDescent="0.45">
      <c r="B24" s="12"/>
      <c r="C24" s="132" t="s">
        <v>0</v>
      </c>
      <c r="D24" s="132"/>
      <c r="E24" s="132"/>
      <c r="F24" s="12"/>
      <c r="G24" s="132" t="s">
        <v>1</v>
      </c>
      <c r="H24" s="132"/>
      <c r="I24" s="132"/>
      <c r="J24" s="12"/>
      <c r="K24" s="132" t="s">
        <v>24</v>
      </c>
      <c r="L24" s="132"/>
      <c r="M24" s="132"/>
      <c r="N24" s="12"/>
      <c r="O24" s="132" t="s">
        <v>106</v>
      </c>
      <c r="P24" s="132"/>
      <c r="Q24" s="132"/>
      <c r="R24" s="21"/>
      <c r="S24" s="132" t="s">
        <v>117</v>
      </c>
      <c r="T24" s="132"/>
      <c r="U24" s="132"/>
      <c r="V24" s="21"/>
      <c r="W24" s="132" t="s">
        <v>118</v>
      </c>
      <c r="X24" s="132"/>
      <c r="Y24" s="132"/>
      <c r="Z24" s="21"/>
      <c r="AA24" s="132" t="s">
        <v>124</v>
      </c>
      <c r="AB24" s="132"/>
      <c r="AC24" s="132"/>
      <c r="AD24" s="21"/>
      <c r="AE24" s="132" t="s">
        <v>135</v>
      </c>
      <c r="AF24" s="132"/>
      <c r="AG24" s="132"/>
      <c r="AH24" s="21"/>
      <c r="AI24" s="132" t="s">
        <v>136</v>
      </c>
      <c r="AJ24" s="132"/>
      <c r="AK24" s="132"/>
      <c r="AL24" s="21"/>
      <c r="AM24" s="132" t="s">
        <v>138</v>
      </c>
      <c r="AN24" s="132"/>
      <c r="AO24" s="132"/>
      <c r="AP24" s="21"/>
      <c r="AQ24" s="12"/>
      <c r="AR24" s="12"/>
      <c r="AS24" s="12"/>
      <c r="AT24" s="12"/>
      <c r="AU24" s="12"/>
      <c r="AV24" s="12"/>
      <c r="AW24" s="12"/>
      <c r="AX24" s="12"/>
    </row>
    <row r="25" spans="1:53" ht="16.5" x14ac:dyDescent="0.45">
      <c r="A25" s="6" t="s">
        <v>2</v>
      </c>
      <c r="B25" s="71" t="s">
        <v>18</v>
      </c>
      <c r="C25" s="72" t="s">
        <v>4</v>
      </c>
      <c r="D25" s="72" t="s">
        <v>5</v>
      </c>
      <c r="E25" s="72" t="s">
        <v>6</v>
      </c>
      <c r="F25" s="12"/>
      <c r="G25" s="72" t="s">
        <v>4</v>
      </c>
      <c r="H25" s="72" t="s">
        <v>5</v>
      </c>
      <c r="I25" s="72" t="s">
        <v>6</v>
      </c>
      <c r="J25" s="12"/>
      <c r="K25" s="72" t="s">
        <v>4</v>
      </c>
      <c r="L25" s="72" t="s">
        <v>5</v>
      </c>
      <c r="M25" s="72" t="s">
        <v>6</v>
      </c>
      <c r="N25" s="12"/>
      <c r="O25" s="72" t="s">
        <v>4</v>
      </c>
      <c r="P25" s="72" t="s">
        <v>5</v>
      </c>
      <c r="Q25" s="72" t="s">
        <v>6</v>
      </c>
      <c r="R25" s="22"/>
      <c r="S25" s="72" t="s">
        <v>4</v>
      </c>
      <c r="T25" s="72" t="s">
        <v>5</v>
      </c>
      <c r="U25" s="72" t="s">
        <v>6</v>
      </c>
      <c r="V25" s="22"/>
      <c r="W25" s="72" t="s">
        <v>4</v>
      </c>
      <c r="X25" s="72" t="s">
        <v>5</v>
      </c>
      <c r="Y25" s="72" t="s">
        <v>6</v>
      </c>
      <c r="Z25" s="22"/>
      <c r="AA25" s="72" t="s">
        <v>4</v>
      </c>
      <c r="AB25" s="72" t="s">
        <v>5</v>
      </c>
      <c r="AC25" s="72" t="s">
        <v>6</v>
      </c>
      <c r="AD25" s="22"/>
      <c r="AE25" s="72" t="s">
        <v>4</v>
      </c>
      <c r="AF25" s="72" t="s">
        <v>5</v>
      </c>
      <c r="AG25" s="72" t="s">
        <v>6</v>
      </c>
      <c r="AH25" s="22"/>
      <c r="AI25" s="72" t="s">
        <v>4</v>
      </c>
      <c r="AJ25" s="72" t="s">
        <v>5</v>
      </c>
      <c r="AK25" s="72" t="s">
        <v>6</v>
      </c>
      <c r="AL25" s="22"/>
      <c r="AM25" s="72" t="s">
        <v>4</v>
      </c>
      <c r="AN25" s="72" t="s">
        <v>5</v>
      </c>
      <c r="AO25" s="72" t="s">
        <v>6</v>
      </c>
      <c r="AP25" s="22"/>
      <c r="AQ25" s="131" t="s">
        <v>34</v>
      </c>
      <c r="AR25" s="131"/>
      <c r="AS25" s="131"/>
      <c r="AT25" s="131"/>
      <c r="AU25" s="131"/>
      <c r="AV25" s="131"/>
      <c r="AW25" s="131"/>
      <c r="AX25" s="131"/>
      <c r="AY25" s="131"/>
      <c r="AZ25" s="131"/>
      <c r="BA25" s="131"/>
    </row>
    <row r="26" spans="1:53" ht="15" customHeight="1" x14ac:dyDescent="0.45">
      <c r="B26" s="70" t="s">
        <v>7</v>
      </c>
      <c r="C26" s="69">
        <f t="shared" ref="C26" si="0">+C27+C29+C28</f>
        <v>58387.635017546199</v>
      </c>
      <c r="D26" s="73">
        <f>+D27+D29+D28</f>
        <v>5.2532808632441972</v>
      </c>
      <c r="E26" s="73">
        <f>+E27+E29+E28</f>
        <v>1.9558966976620016</v>
      </c>
      <c r="F26" s="12"/>
      <c r="G26" s="69">
        <f>+G27+G29+G28</f>
        <v>76911.578315576742</v>
      </c>
      <c r="H26" s="73">
        <f>+H27+H29+H28</f>
        <v>7.5095744221087575</v>
      </c>
      <c r="I26" s="73">
        <f>+I27+I29+I28</f>
        <v>2.803309503128621</v>
      </c>
      <c r="J26" s="12"/>
      <c r="K26" s="69">
        <f>+K27+K29+K28</f>
        <v>53072.975521121756</v>
      </c>
      <c r="L26" s="73">
        <f>+L27+L29+L28</f>
        <v>4.6722444057961336</v>
      </c>
      <c r="M26" s="73">
        <f>+M27+M29+M28</f>
        <v>1.7358975692950751</v>
      </c>
      <c r="N26" s="12"/>
      <c r="O26" s="69">
        <f>+O27+O29+O28</f>
        <v>48707.027765335792</v>
      </c>
      <c r="P26" s="73">
        <f>+P27+P29+P28</f>
        <v>4.4911403839805448</v>
      </c>
      <c r="Q26" s="73">
        <f>+Q27+Q29+Q28</f>
        <v>1.6019242903643351</v>
      </c>
      <c r="R26" s="23"/>
      <c r="S26" s="69">
        <f>+S27+S29+S28</f>
        <v>48861.76223389701</v>
      </c>
      <c r="T26" s="73">
        <f>+T27+T29+T28</f>
        <v>4.400691861971473</v>
      </c>
      <c r="U26" s="73">
        <f>+U27+U29+U28</f>
        <v>1.5864695983957506</v>
      </c>
      <c r="V26" s="23"/>
      <c r="W26" s="69">
        <f>+W27+W29+W28</f>
        <v>56666.107374498199</v>
      </c>
      <c r="X26" s="73">
        <f>+X27+X29+X28</f>
        <v>5.1795721496962619</v>
      </c>
      <c r="Y26" s="73">
        <f>+Y27+Y29+Y28</f>
        <v>1.9210813593186109</v>
      </c>
      <c r="Z26" s="23"/>
      <c r="AA26" s="69">
        <f>+AA27+AA29+AA28</f>
        <v>72156.999973214333</v>
      </c>
      <c r="AB26" s="73">
        <f>+AB27+AB29+AB28</f>
        <v>6.8819997637241759</v>
      </c>
      <c r="AC26" s="73">
        <f>+AC27+AC29+AC28</f>
        <v>2.4970926930046669</v>
      </c>
      <c r="AD26" s="23"/>
      <c r="AE26" s="69">
        <f>+AE27+AE29+AE28</f>
        <v>91026</v>
      </c>
      <c r="AF26" s="73">
        <f>+AF27+AF29+AF28</f>
        <v>7.2835817638492619</v>
      </c>
      <c r="AG26" s="73">
        <f>+AG27+AG29+AG28</f>
        <v>2.6232988293601709</v>
      </c>
      <c r="AH26" s="23"/>
      <c r="AI26" s="69">
        <f>+AI27+AI29+AI28</f>
        <v>76901</v>
      </c>
      <c r="AJ26" s="73">
        <f>+AJ27+AJ29+AJ28</f>
        <v>6.02549792549231</v>
      </c>
      <c r="AK26" s="73">
        <f>+AK27+AK29+AK28</f>
        <v>2.1580587088579808</v>
      </c>
      <c r="AL26" s="23"/>
      <c r="AM26" s="69">
        <f>+AM27+AM29+AM28</f>
        <v>61691</v>
      </c>
      <c r="AN26" s="73">
        <f>+AN27+AN29+AN28</f>
        <v>5.0794500343896409</v>
      </c>
      <c r="AO26" s="73">
        <f>+AO27+AO29+AO28</f>
        <v>1.8889608470762356</v>
      </c>
      <c r="AP26" s="23"/>
      <c r="AQ26" s="12"/>
      <c r="AR26" s="12"/>
      <c r="AS26" s="12"/>
      <c r="AT26" s="12"/>
      <c r="AU26" s="12"/>
      <c r="AV26" s="12"/>
      <c r="AW26" s="12"/>
      <c r="AX26" s="12"/>
    </row>
    <row r="27" spans="1:53" ht="16.5" x14ac:dyDescent="0.45">
      <c r="B27" s="24" t="s">
        <v>7</v>
      </c>
      <c r="C27" s="25">
        <v>56053.115125399599</v>
      </c>
      <c r="D27" s="26">
        <f>+C27/$C$14</f>
        <v>5.0432382973723104</v>
      </c>
      <c r="E27" s="26">
        <f>+(C27/($C$14*$C$15*$C$17)/$C$16)*100</f>
        <v>1.8776938427886432</v>
      </c>
      <c r="F27" s="12"/>
      <c r="G27" s="25">
        <v>71228.962357244076</v>
      </c>
      <c r="H27" s="26">
        <f>+G27/$D$14</f>
        <v>6.954729125913353</v>
      </c>
      <c r="I27" s="26">
        <f>+(G27/($D$14*$D$15*$D$17)/$D$16)*100</f>
        <v>2.5961868348970412</v>
      </c>
      <c r="J27" s="12"/>
      <c r="K27" s="25">
        <v>72298.528797688385</v>
      </c>
      <c r="L27" s="26">
        <f>+K27/$E$14</f>
        <v>6.3647533119347246</v>
      </c>
      <c r="M27" s="26">
        <f>+(K27/($E$14*$E$15*$E$17)/$E$16)*100</f>
        <v>2.3647221428836258</v>
      </c>
      <c r="N27" s="12"/>
      <c r="O27" s="27">
        <v>72184.803770332699</v>
      </c>
      <c r="P27" s="26">
        <f>+O27/$G$14</f>
        <v>6.6559612071705159</v>
      </c>
      <c r="Q27" s="26">
        <f>+(O27/($G$14*$G$15*$G$17)/$G$16)*100</f>
        <v>2.3740843130891007</v>
      </c>
      <c r="R27" s="26"/>
      <c r="S27" s="27">
        <v>53377.079594032548</v>
      </c>
      <c r="T27" s="28">
        <f>+S27/$H$14</f>
        <v>4.8073599691479707</v>
      </c>
      <c r="U27" s="28">
        <f>+(S27/($H$14*$H$15*$H$17)/$H$16)*100</f>
        <v>1.7330753160666144</v>
      </c>
      <c r="V27" s="26"/>
      <c r="W27" s="27">
        <v>64614.165774961933</v>
      </c>
      <c r="X27" s="26">
        <f>+W27/$I$14</f>
        <v>5.906065354234399</v>
      </c>
      <c r="Y27" s="26">
        <f>+(W27/($I$14*$I$15*$I$17)/$I$16)*100</f>
        <v>2.1905346100068366</v>
      </c>
      <c r="Z27" s="26"/>
      <c r="AA27" s="27">
        <v>78243.915170997963</v>
      </c>
      <c r="AB27" s="26">
        <f>+AA27/$K$14</f>
        <v>7.4625414848116129</v>
      </c>
      <c r="AC27" s="26">
        <f>+(AA27/($K$14*$K$15*$K$17)/$K$16)*100</f>
        <v>2.7077388045249196</v>
      </c>
      <c r="AD27" s="26"/>
      <c r="AE27" s="27">
        <v>81683</v>
      </c>
      <c r="AF27" s="26">
        <f>+AE27/$L$14</f>
        <v>6.5359876213004995</v>
      </c>
      <c r="AG27" s="26">
        <f>+(AE27/($L$14*$L$15*$L$17)/$L$16)*100</f>
        <v>2.3540408045901922</v>
      </c>
      <c r="AH27" s="26"/>
      <c r="AI27" s="27">
        <v>74258</v>
      </c>
      <c r="AJ27" s="26">
        <f>+AI27/$M$14</f>
        <v>5.8184084075786791</v>
      </c>
      <c r="AK27" s="26">
        <f>+(AI27/($M$14*$M$15*$M$17)/$M$16)*100</f>
        <v>2.0838886828828742</v>
      </c>
      <c r="AL27" s="26"/>
      <c r="AM27" s="27">
        <v>65454</v>
      </c>
      <c r="AN27" s="26">
        <f>+AM27/$O$14</f>
        <v>5.3892840536048947</v>
      </c>
      <c r="AO27" s="26">
        <f>+(AM27/($O$14*$O$15*$O$17)/$O$16)*100</f>
        <v>2.0041828351708988</v>
      </c>
      <c r="AP27" s="26"/>
      <c r="AQ27" s="12" t="s">
        <v>126</v>
      </c>
      <c r="AR27" s="12"/>
      <c r="AS27" s="12"/>
      <c r="AT27" s="12"/>
      <c r="AU27" s="12"/>
      <c r="AV27" s="12"/>
      <c r="AW27" s="12"/>
      <c r="AX27" s="12"/>
    </row>
    <row r="28" spans="1:53" ht="16.5" x14ac:dyDescent="0.45">
      <c r="B28" s="24" t="s">
        <v>8</v>
      </c>
      <c r="C28" s="29">
        <f>+IF(C10="Cost",-24220.7201078534,0)</f>
        <v>-24220.720107853402</v>
      </c>
      <c r="D28" s="28">
        <f>+C28/$C$14</f>
        <v>-2.1791984792386874</v>
      </c>
      <c r="E28" s="28">
        <f>+(C28/($C$14*$C$15*$C$17)/$C$16)*100</f>
        <v>-0.81135717279368935</v>
      </c>
      <c r="F28" s="12"/>
      <c r="G28" s="29">
        <f>+IF(C10="Cost",-28477.8928907343,0)</f>
        <v>-28477.8928907343</v>
      </c>
      <c r="H28" s="28">
        <f>+G28/$D$14</f>
        <v>-2.7805547712248555</v>
      </c>
      <c r="I28" s="28">
        <f>+(G28/($D$14*$D$15*$D$17)/$D$16)*100</f>
        <v>-1.0379756795799124</v>
      </c>
      <c r="J28" s="12"/>
      <c r="K28" s="29">
        <f>+IF(C10="Cost",-32380,0)</f>
        <v>-32380</v>
      </c>
      <c r="L28" s="28">
        <f>+K28/$E$14</f>
        <v>-2.8505519499179042</v>
      </c>
      <c r="M28" s="28">
        <f>+(K28/($E$14*$E$15*$E$17)/$E$16)*100</f>
        <v>-1.05907691705367</v>
      </c>
      <c r="N28" s="12"/>
      <c r="O28" s="30">
        <f>+IF(C10="Cost",-34721.5,0)</f>
        <v>-34721.5</v>
      </c>
      <c r="P28" s="28">
        <f>+O28/$G$14</f>
        <v>-3.2015735304908195</v>
      </c>
      <c r="Q28" s="28">
        <f>+(O28/($G$14*$G$15*$G$17)/$G$16)*100</f>
        <v>-1.1419545966931328</v>
      </c>
      <c r="R28" s="28"/>
      <c r="S28" s="30">
        <f>+IF(C10="Cost",-18062,0)</f>
        <v>-18062</v>
      </c>
      <c r="T28" s="28">
        <f>+S28/$H$14</f>
        <v>-1.6267382259043286</v>
      </c>
      <c r="U28" s="28">
        <f>+(S28/($H$14*$H$15*$H$17)/$H$16)*100</f>
        <v>-0.58644659087521123</v>
      </c>
      <c r="V28" s="28"/>
      <c r="W28" s="30">
        <f>IF(C10="Cost",-23367,0)</f>
        <v>-23367</v>
      </c>
      <c r="X28" s="28">
        <f>+W28/$I$14</f>
        <v>-2.1358633587106235</v>
      </c>
      <c r="Y28" s="28">
        <f t="shared" ref="Y28:Y29" si="1">+(W28/($I$14*$I$15*$I$17)/$I$16)*100</f>
        <v>-0.79218266796635595</v>
      </c>
      <c r="Z28" s="28"/>
      <c r="AA28" s="30">
        <f>IF(C10="Cost",-19779.9326479814,0)</f>
        <v>-19779.932647981401</v>
      </c>
      <c r="AB28" s="28">
        <f>+AA28/$K$14</f>
        <v>-1.8865181737103782</v>
      </c>
      <c r="AC28" s="28">
        <f>+(AA28/($K$14*$K$15*$K$17)/$K$16)*100</f>
        <v>-0.68451190184921662</v>
      </c>
      <c r="AD28" s="28"/>
      <c r="AE28" s="30">
        <f>+IF(C10="Cost",-22626,0)</f>
        <v>-22626</v>
      </c>
      <c r="AF28" s="28">
        <f>+AE28/$L$14</f>
        <v>-1.8104532879490849</v>
      </c>
      <c r="AG28" s="28">
        <f>+(AE28/($L$14*$L$15*$L$17)/$L$16)*100</f>
        <v>-0.65206379839939399</v>
      </c>
      <c r="AH28" s="28"/>
      <c r="AI28" s="30">
        <f>+IF(C10="Cost",-36992,0)</f>
        <v>-36992</v>
      </c>
      <c r="AJ28" s="28">
        <f t="shared" ref="AJ28:AJ29" si="2">+AI28/$M$14</f>
        <v>-2.8984697111846605</v>
      </c>
      <c r="AK28" s="28">
        <f t="shared" ref="AK28:AK29" si="3">+(AI28/($M$14*$M$15*$M$17)/$M$16)*100</f>
        <v>-1.03809973547905</v>
      </c>
      <c r="AL28" s="28"/>
      <c r="AM28" s="30">
        <f>+IF(C10="Cost",-42178,0)</f>
        <v>-42178</v>
      </c>
      <c r="AN28" s="28">
        <f t="shared" ref="AN28:AN29" si="4">+AM28/$O$14</f>
        <v>-3.4728087330483586</v>
      </c>
      <c r="AO28" s="28">
        <f t="shared" ref="AO28:AO29" si="5">+(AM28/($O$14*$O$15*$O$17)/$O$16)*100</f>
        <v>-1.291478345430962</v>
      </c>
      <c r="AP28" s="28"/>
      <c r="AQ28" s="12" t="s">
        <v>127</v>
      </c>
      <c r="AR28" s="12"/>
      <c r="AS28" s="12"/>
      <c r="AT28" s="12"/>
      <c r="AU28" s="12"/>
      <c r="AV28" s="12"/>
      <c r="AW28" s="12"/>
      <c r="AX28" s="12"/>
    </row>
    <row r="29" spans="1:53" ht="16.5" x14ac:dyDescent="0.45">
      <c r="B29" s="24" t="s">
        <v>130</v>
      </c>
      <c r="C29" s="25">
        <v>26555.239999999998</v>
      </c>
      <c r="D29" s="26">
        <f>+C29/$C$14</f>
        <v>2.3892410451105741</v>
      </c>
      <c r="E29" s="26">
        <f>+(C29/($C$14*$C$15*$C$17)/$C$16)*100</f>
        <v>0.88956002766704778</v>
      </c>
      <c r="F29" s="12"/>
      <c r="G29" s="25">
        <v>34160.50884906698</v>
      </c>
      <c r="H29" s="26">
        <f>+G29/$D$14</f>
        <v>3.3354000674202586</v>
      </c>
      <c r="I29" s="26">
        <f>+(G29/($D$14*$D$15*$D$17)/$D$16)*100</f>
        <v>1.2450983478114921</v>
      </c>
      <c r="J29" s="12"/>
      <c r="K29" s="25">
        <v>13154.446723433372</v>
      </c>
      <c r="L29" s="26">
        <f>+K29/$E$14</f>
        <v>1.1580430437793139</v>
      </c>
      <c r="M29" s="26">
        <f>+(K29/($E$14*$E$15*$E$17)/$E$16)*100</f>
        <v>0.43025234346511942</v>
      </c>
      <c r="N29" s="12"/>
      <c r="O29" s="27">
        <v>11243.723995003093</v>
      </c>
      <c r="P29" s="26">
        <f>+O29/$G$14</f>
        <v>1.036752707300848</v>
      </c>
      <c r="Q29" s="26">
        <f>+(O29/($G$14*$G$15*$G$17)/$G$16)*100</f>
        <v>0.36979457396836707</v>
      </c>
      <c r="R29" s="26"/>
      <c r="S29" s="27">
        <v>13546.682639864468</v>
      </c>
      <c r="T29" s="28">
        <f>+S29/$H$14</f>
        <v>1.2200701187278313</v>
      </c>
      <c r="U29" s="28">
        <f>+(S29/($H$14*$H$15*$H$17)/$H$16)*100</f>
        <v>0.4398408732043475</v>
      </c>
      <c r="V29" s="26"/>
      <c r="W29" s="27">
        <v>15418.941599536271</v>
      </c>
      <c r="X29" s="28">
        <f>+W29/$I$14</f>
        <v>1.4093701541724863</v>
      </c>
      <c r="Y29" s="26">
        <f t="shared" si="1"/>
        <v>0.52272941727813049</v>
      </c>
      <c r="Z29" s="26"/>
      <c r="AA29" s="27">
        <v>13693.017450197774</v>
      </c>
      <c r="AB29" s="26">
        <f>+AA29/$K$14</f>
        <v>1.3059764526229409</v>
      </c>
      <c r="AC29" s="26">
        <f>+(AA29/($K$14*$K$15*$K$17)/$K$16)*100</f>
        <v>0.4738657903289642</v>
      </c>
      <c r="AD29" s="26"/>
      <c r="AE29" s="27">
        <v>31969</v>
      </c>
      <c r="AF29" s="26">
        <f>+AE29/$L$14</f>
        <v>2.5580474304978473</v>
      </c>
      <c r="AG29" s="26">
        <f>+(AE29/($L$14*$L$15*$L$17)/$L$16)*100</f>
        <v>0.9213218231693725</v>
      </c>
      <c r="AH29" s="26"/>
      <c r="AI29" s="27">
        <v>39635</v>
      </c>
      <c r="AJ29" s="26">
        <f t="shared" si="2"/>
        <v>3.1055592290982919</v>
      </c>
      <c r="AK29" s="26">
        <f t="shared" si="3"/>
        <v>1.1122697614541563</v>
      </c>
      <c r="AL29" s="26"/>
      <c r="AM29" s="27">
        <v>38415</v>
      </c>
      <c r="AN29" s="26">
        <f t="shared" si="4"/>
        <v>3.1629747138331048</v>
      </c>
      <c r="AO29" s="26">
        <f t="shared" si="5"/>
        <v>1.1762563573362985</v>
      </c>
      <c r="AP29" s="26"/>
      <c r="AQ29" s="12" t="s">
        <v>126</v>
      </c>
      <c r="AR29" s="12"/>
      <c r="AS29" s="12"/>
      <c r="AT29" s="12"/>
      <c r="AU29" s="12"/>
      <c r="AV29" s="12"/>
      <c r="AW29" s="12"/>
      <c r="AX29" s="12"/>
    </row>
    <row r="30" spans="1:53" ht="16.5" x14ac:dyDescent="0.45">
      <c r="B30" s="70" t="s">
        <v>9</v>
      </c>
      <c r="C30" s="69">
        <f>+C31+C33+C32+C34</f>
        <v>243948.3146865399</v>
      </c>
      <c r="D30" s="73">
        <f>+D31+D33+D32+D34</f>
        <v>21.948637117745193</v>
      </c>
      <c r="E30" s="73">
        <f>+E31+E33+E32+E34</f>
        <v>8.1718963775845417</v>
      </c>
      <c r="F30" s="12"/>
      <c r="G30" s="69">
        <f>+G31+G33+G32+G34</f>
        <v>265308.25813205726</v>
      </c>
      <c r="H30" s="73">
        <f>+H31+H33+H32+H34</f>
        <v>25.904449666445316</v>
      </c>
      <c r="I30" s="73">
        <f>+I31+I33+I32+I34</f>
        <v>9.6700805986381475</v>
      </c>
      <c r="J30" s="12"/>
      <c r="K30" s="69">
        <f>+K31+K33+K32+K34</f>
        <v>255686.36680066498</v>
      </c>
      <c r="L30" s="73">
        <f>+L31+L33+L32+L34</f>
        <v>22.509180711891911</v>
      </c>
      <c r="M30" s="73">
        <f>+M31+M33+M32+M34</f>
        <v>8.3629255430482434</v>
      </c>
      <c r="N30" s="12"/>
      <c r="O30" s="69">
        <f>+O31+O33+O32+O34</f>
        <v>271646.7472395153</v>
      </c>
      <c r="P30" s="73">
        <f>+P31+P33+P32+P34</f>
        <v>25.047795619600596</v>
      </c>
      <c r="Q30" s="73">
        <f>+Q31+Q33+Q32+Q34</f>
        <v>8.9341834795991559</v>
      </c>
      <c r="R30" s="23"/>
      <c r="S30" s="69">
        <f>+S31+S33+S32+S34</f>
        <v>197557.75461126032</v>
      </c>
      <c r="T30" s="73">
        <f>+T31+T33+T32+T34</f>
        <v>17.792866307715883</v>
      </c>
      <c r="U30" s="73">
        <f>+U31+U33+U32+U34</f>
        <v>6.414409904370233</v>
      </c>
      <c r="V30" s="23"/>
      <c r="W30" s="69">
        <f>+W31+W33+W32+W34</f>
        <v>260832.19112226221</v>
      </c>
      <c r="X30" s="73">
        <f>+X31+X33+X32+X34</f>
        <v>23.841396832723337</v>
      </c>
      <c r="Y30" s="73">
        <f>+Y31+Y33+Y32+Y34</f>
        <v>8.8426730455233518</v>
      </c>
      <c r="Z30" s="23"/>
      <c r="AA30" s="69">
        <f>+AA31+AA33+AA32+AA34</f>
        <v>302905.31838577217</v>
      </c>
      <c r="AB30" s="73">
        <f>+AB31+AB33+AB32+AB34</f>
        <v>28.889703429126907</v>
      </c>
      <c r="AC30" s="73">
        <f>+AC31+AC33+AC32+AC34</f>
        <v>10.482457107337385</v>
      </c>
      <c r="AD30" s="23"/>
      <c r="AE30" s="69">
        <f>+AE31+AE33+AE32+AE34</f>
        <v>345684.39837339416</v>
      </c>
      <c r="AF30" s="73">
        <f>+AF31+AF33+AF32+AF34</f>
        <v>27.660455035260881</v>
      </c>
      <c r="AG30" s="73">
        <f>+AG31+AG33+AG32+AG34</f>
        <v>9.9623566627227369</v>
      </c>
      <c r="AH30" s="23"/>
      <c r="AI30" s="69">
        <f>+AI31+AI33+AI32+AI34</f>
        <v>362754.45270946249</v>
      </c>
      <c r="AJ30" s="73">
        <f>+AJ31+AJ33+AJ32+AJ34</f>
        <v>28.423248101636712</v>
      </c>
      <c r="AK30" s="73">
        <f>+AK31+AK33+AK32+AK34</f>
        <v>10.179911910725036</v>
      </c>
      <c r="AL30" s="23"/>
      <c r="AM30" s="69">
        <f>+AM31+AM33+AM32+AM34</f>
        <v>331940.2348118386</v>
      </c>
      <c r="AN30" s="73">
        <f>+AN31+AN33+AN32+AN34</f>
        <v>27.330953252991506</v>
      </c>
      <c r="AO30" s="73">
        <f>+AO31+AO33+AO32+AO34</f>
        <v>10.163915435458255</v>
      </c>
      <c r="AP30" s="23"/>
      <c r="AQ30" s="12"/>
      <c r="AR30" s="31"/>
      <c r="AS30" s="12"/>
      <c r="AT30" s="12"/>
      <c r="AU30" s="12"/>
      <c r="AV30" s="12"/>
      <c r="AW30" s="12"/>
      <c r="AX30" s="12"/>
    </row>
    <row r="31" spans="1:53" ht="16.5" x14ac:dyDescent="0.45">
      <c r="B31" s="24" t="s">
        <v>131</v>
      </c>
      <c r="C31" s="25">
        <v>110317</v>
      </c>
      <c r="D31" s="26">
        <f t="shared" ref="D31:D34" si="6">+C31/$C$14</f>
        <v>9.9254950952604162</v>
      </c>
      <c r="E31" s="26">
        <f t="shared" ref="E31:E34" si="7">+(C31/($C$14*$C$15*$C$17)/$C$16)*100</f>
        <v>3.6954512018021948</v>
      </c>
      <c r="F31" s="12"/>
      <c r="G31" s="25">
        <v>111018.18547827803</v>
      </c>
      <c r="H31" s="26">
        <f t="shared" ref="H31:H34" si="8">+G31/$D$14</f>
        <v>10.839711579391096</v>
      </c>
      <c r="I31" s="26">
        <f t="shared" ref="I31:I34" si="9">+(G31/($D$14*$D$15*$D$17)/$D$16)*100</f>
        <v>4.0464432168377718</v>
      </c>
      <c r="J31" s="12"/>
      <c r="K31" s="25">
        <v>102275.3980257631</v>
      </c>
      <c r="L31" s="26">
        <f t="shared" ref="L31:L34" si="10">+K31/$E$14</f>
        <v>9.0037472288748859</v>
      </c>
      <c r="M31" s="26">
        <f t="shared" ref="M31:M34" si="11">+(K31/($E$14*$E$15*$E$17)/$E$16)*100</f>
        <v>3.3451980615059358</v>
      </c>
      <c r="N31" s="12"/>
      <c r="O31" s="27">
        <v>103115.69061429145</v>
      </c>
      <c r="P31" s="26">
        <f>+O31/$G$14</f>
        <v>9.5080127773568588</v>
      </c>
      <c r="Q31" s="26">
        <f>+(O31/($G$14*$G$15*$G$17)/$G$16)*100</f>
        <v>3.3913695228655749</v>
      </c>
      <c r="R31" s="26"/>
      <c r="S31" s="27">
        <v>70380.83710204126</v>
      </c>
      <c r="T31" s="28">
        <f t="shared" ref="T31:T34" si="12">+S31/$H$14</f>
        <v>6.3387885109642426</v>
      </c>
      <c r="U31" s="28">
        <f t="shared" ref="U31:U34" si="13">+(S31/($H$14*$H$15*$H$17)/$H$16)*100</f>
        <v>2.2851623287252614</v>
      </c>
      <c r="V31" s="26"/>
      <c r="W31" s="27">
        <v>89387.840820332553</v>
      </c>
      <c r="X31" s="28">
        <f t="shared" ref="X31:X34" si="14">+W31/$I$14</f>
        <v>8.1705060094323638</v>
      </c>
      <c r="Y31" s="26">
        <f t="shared" ref="Y31:Y34" si="15">+(W31/($I$14*$I$15*$I$17)/$I$16)*100</f>
        <v>3.0304060523303371</v>
      </c>
      <c r="Z31" s="26"/>
      <c r="AA31" s="27">
        <v>112908.42162812619</v>
      </c>
      <c r="AB31" s="26">
        <f t="shared" ref="AB31:AB36" si="16">+AA31/$K$14</f>
        <v>10.768681226432367</v>
      </c>
      <c r="AC31" s="26">
        <f t="shared" ref="AC31:AC34" si="17">+(AA31/($K$14*$K$15*$K$17)/$K$16)*100</f>
        <v>3.9073519510365604</v>
      </c>
      <c r="AD31" s="26"/>
      <c r="AE31" s="27">
        <v>134907</v>
      </c>
      <c r="AF31" s="26">
        <f>+AE31/$L$14</f>
        <v>10.794785720734872</v>
      </c>
      <c r="AG31" s="26">
        <f>+(AE31/($L$14*$L$15*$L$17)/$L$16)*100</f>
        <v>3.8879152678629474</v>
      </c>
      <c r="AH31" s="26"/>
      <c r="AI31" s="27">
        <v>138066</v>
      </c>
      <c r="AJ31" s="26">
        <f t="shared" ref="AJ31:AJ34" si="18">+AI31/$M$14</f>
        <v>10.818017926698241</v>
      </c>
      <c r="AK31" s="26">
        <f t="shared" ref="AK31:AK34" si="19">+(AI31/($M$14*$M$15*$M$17)/$M$16)*100</f>
        <v>3.874520925569056</v>
      </c>
      <c r="AL31" s="26"/>
      <c r="AM31" s="27">
        <v>112004</v>
      </c>
      <c r="AN31" s="26">
        <f t="shared" ref="AN31:AN34" si="20">+AM31/$O$14</f>
        <v>9.2220700207773803</v>
      </c>
      <c r="AO31" s="26">
        <f t="shared" ref="AO31:AO34" si="21">+(AM31/($O$14*$O$15*$O$17)/$O$16)*100</f>
        <v>3.4295305752204812</v>
      </c>
      <c r="AP31" s="26"/>
      <c r="AQ31" s="12" t="s">
        <v>126</v>
      </c>
      <c r="AR31" s="32"/>
      <c r="AS31" s="18"/>
      <c r="AT31" s="12"/>
      <c r="AU31" s="12"/>
      <c r="AV31" s="12"/>
      <c r="AW31" s="12"/>
      <c r="AX31" s="12"/>
    </row>
    <row r="32" spans="1:53" ht="16.5" x14ac:dyDescent="0.45">
      <c r="B32" s="24" t="s">
        <v>132</v>
      </c>
      <c r="C32" s="25">
        <v>42396</v>
      </c>
      <c r="D32" s="26">
        <f t="shared" si="6"/>
        <v>3.8144736537311621</v>
      </c>
      <c r="E32" s="26">
        <f t="shared" si="7"/>
        <v>1.4202013212071198</v>
      </c>
      <c r="F32" s="12"/>
      <c r="G32" s="25">
        <v>53920.210872107578</v>
      </c>
      <c r="H32" s="26">
        <f t="shared" si="8"/>
        <v>5.2647188533625799</v>
      </c>
      <c r="I32" s="26">
        <f t="shared" si="9"/>
        <v>1.9653092922924091</v>
      </c>
      <c r="J32" s="12"/>
      <c r="K32" s="25">
        <v>60205.502543966744</v>
      </c>
      <c r="L32" s="26">
        <f t="shared" si="10"/>
        <v>5.3001517193481087</v>
      </c>
      <c r="M32" s="26">
        <f t="shared" si="11"/>
        <v>1.9691864738706357</v>
      </c>
      <c r="N32" s="12"/>
      <c r="O32" s="27">
        <v>68725.479463979282</v>
      </c>
      <c r="P32" s="26">
        <f>+O32/$G$14</f>
        <v>6.336986475877092</v>
      </c>
      <c r="Q32" s="26">
        <f>+(O32/($G$14*$G$15*$G$17)/$G$16)*100</f>
        <v>2.2603106773564119</v>
      </c>
      <c r="R32" s="26"/>
      <c r="S32" s="27">
        <v>49850.846646539649</v>
      </c>
      <c r="T32" s="28">
        <f t="shared" si="12"/>
        <v>4.4897728841557223</v>
      </c>
      <c r="U32" s="28">
        <f t="shared" si="13"/>
        <v>1.6185837154305243</v>
      </c>
      <c r="V32" s="26"/>
      <c r="W32" s="27">
        <v>66192.402197307369</v>
      </c>
      <c r="X32" s="28">
        <f t="shared" si="14"/>
        <v>6.050324238381708</v>
      </c>
      <c r="Y32" s="26">
        <f t="shared" si="15"/>
        <v>2.2440396187685643</v>
      </c>
      <c r="Z32" s="26"/>
      <c r="AA32" s="27">
        <v>67029.62558508644</v>
      </c>
      <c r="AB32" s="26">
        <f t="shared" si="16"/>
        <v>6.3929745916588123</v>
      </c>
      <c r="AC32" s="26">
        <f t="shared" si="17"/>
        <v>2.3196528171278112</v>
      </c>
      <c r="AD32" s="26"/>
      <c r="AE32" s="27">
        <v>79069</v>
      </c>
      <c r="AF32" s="26">
        <f>+AE32/$L$14</f>
        <v>6.3268244950431454</v>
      </c>
      <c r="AG32" s="26">
        <f t="shared" ref="AG32:AG34" si="22">+(AE32/($L$14*$L$15*$L$17)/$L$16)*100</f>
        <v>2.27870734887482</v>
      </c>
      <c r="AH32" s="26"/>
      <c r="AI32" s="27">
        <v>97890</v>
      </c>
      <c r="AJ32" s="26">
        <f t="shared" si="18"/>
        <v>7.6700692049055581</v>
      </c>
      <c r="AK32" s="26">
        <f t="shared" si="19"/>
        <v>2.7470691799860565</v>
      </c>
      <c r="AL32" s="26"/>
      <c r="AM32" s="27">
        <v>81818</v>
      </c>
      <c r="AN32" s="26">
        <f t="shared" si="20"/>
        <v>6.736646235491266</v>
      </c>
      <c r="AO32" s="26">
        <f t="shared" si="21"/>
        <v>2.505243853821197</v>
      </c>
      <c r="AP32" s="26"/>
      <c r="AQ32" s="12" t="s">
        <v>126</v>
      </c>
      <c r="AR32" s="32"/>
      <c r="AS32" s="18"/>
      <c r="AT32" s="12"/>
      <c r="AU32" s="12"/>
      <c r="AV32" s="12"/>
      <c r="AW32" s="12"/>
      <c r="AX32" s="12"/>
    </row>
    <row r="33" spans="2:50" ht="16.5" x14ac:dyDescent="0.45">
      <c r="B33" s="24" t="s">
        <v>10</v>
      </c>
      <c r="C33" s="25">
        <v>52855.316611348971</v>
      </c>
      <c r="D33" s="26">
        <f t="shared" si="6"/>
        <v>4.7555244049818306</v>
      </c>
      <c r="E33" s="26">
        <f t="shared" si="7"/>
        <v>1.7705724710882733</v>
      </c>
      <c r="F33" s="12"/>
      <c r="G33" s="25">
        <v>59288.352519549582</v>
      </c>
      <c r="H33" s="26">
        <f t="shared" si="8"/>
        <v>5.7888591725805885</v>
      </c>
      <c r="I33" s="26">
        <f t="shared" si="9"/>
        <v>2.1609698524315961</v>
      </c>
      <c r="J33" s="12"/>
      <c r="K33" s="25">
        <v>58539.672963696692</v>
      </c>
      <c r="L33" s="26">
        <f t="shared" si="10"/>
        <v>5.1535015106306989</v>
      </c>
      <c r="M33" s="26">
        <f t="shared" si="11"/>
        <v>1.9147009378542919</v>
      </c>
      <c r="N33" s="12"/>
      <c r="O33" s="27">
        <v>67433.692523881211</v>
      </c>
      <c r="P33" s="26">
        <f>+O33/$G$14</f>
        <v>6.2178743731611466</v>
      </c>
      <c r="Q33" s="26">
        <f>+(O33/($G$14*$G$15*$G$17)/$G$16)*100</f>
        <v>2.2178251270722029</v>
      </c>
      <c r="R33" s="26"/>
      <c r="S33" s="27">
        <v>51371.831682028685</v>
      </c>
      <c r="T33" s="28">
        <f t="shared" si="12"/>
        <v>4.6267590705281325</v>
      </c>
      <c r="U33" s="28">
        <f t="shared" si="13"/>
        <v>1.6679678638545505</v>
      </c>
      <c r="V33" s="26"/>
      <c r="W33" s="27">
        <v>62884.353767625675</v>
      </c>
      <c r="X33" s="28">
        <f t="shared" si="14"/>
        <v>5.7479516860730095</v>
      </c>
      <c r="Y33" s="26">
        <f t="shared" si="15"/>
        <v>2.1318909205707994</v>
      </c>
      <c r="Z33" s="26"/>
      <c r="AA33" s="27">
        <v>72396.94460521228</v>
      </c>
      <c r="AB33" s="26">
        <f t="shared" si="16"/>
        <v>6.904884569097594</v>
      </c>
      <c r="AC33" s="26">
        <f t="shared" si="17"/>
        <v>2.5053963085583932</v>
      </c>
      <c r="AD33" s="26"/>
      <c r="AE33" s="27">
        <v>79361.398373394142</v>
      </c>
      <c r="AF33" s="26">
        <f>+AE33/$L$14</f>
        <v>6.3502211889573319</v>
      </c>
      <c r="AG33" s="26">
        <f t="shared" si="22"/>
        <v>2.2871340435624004</v>
      </c>
      <c r="AH33" s="26"/>
      <c r="AI33" s="27">
        <v>80052.452709462479</v>
      </c>
      <c r="AJ33" s="26">
        <f t="shared" si="18"/>
        <v>6.2724267269793303</v>
      </c>
      <c r="AK33" s="26">
        <f t="shared" si="19"/>
        <v>2.2464973502957979</v>
      </c>
      <c r="AL33" s="26"/>
      <c r="AM33" s="27">
        <v>100398.23481183857</v>
      </c>
      <c r="AN33" s="26">
        <f t="shared" si="20"/>
        <v>8.2664864772438875</v>
      </c>
      <c r="AO33" s="26">
        <f t="shared" si="21"/>
        <v>3.0741653511067968</v>
      </c>
      <c r="AP33" s="26"/>
      <c r="AQ33" s="12" t="s">
        <v>126</v>
      </c>
      <c r="AR33" s="33"/>
      <c r="AS33" s="33"/>
      <c r="AT33" s="12"/>
      <c r="AU33" s="12"/>
      <c r="AV33" s="12"/>
      <c r="AW33" s="12"/>
      <c r="AX33" s="12"/>
    </row>
    <row r="34" spans="2:50" ht="16.5" x14ac:dyDescent="0.45">
      <c r="B34" s="24" t="s">
        <v>14</v>
      </c>
      <c r="C34" s="25">
        <v>38379.998075190939</v>
      </c>
      <c r="D34" s="26">
        <f t="shared" si="6"/>
        <v>3.453143963771784</v>
      </c>
      <c r="E34" s="26">
        <f t="shared" si="7"/>
        <v>1.2856713834869538</v>
      </c>
      <c r="F34" s="12"/>
      <c r="G34" s="25">
        <v>41081.509262122097</v>
      </c>
      <c r="H34" s="26">
        <f t="shared" si="8"/>
        <v>4.0111600611110489</v>
      </c>
      <c r="I34" s="26">
        <f t="shared" si="9"/>
        <v>1.4973582370763718</v>
      </c>
      <c r="J34" s="12"/>
      <c r="K34" s="25">
        <v>34665.793267238434</v>
      </c>
      <c r="L34" s="26">
        <f t="shared" si="10"/>
        <v>3.0517802530382174</v>
      </c>
      <c r="M34" s="26">
        <f t="shared" si="11"/>
        <v>1.1338400698173796</v>
      </c>
      <c r="N34" s="12"/>
      <c r="O34" s="27">
        <v>32371.884637363317</v>
      </c>
      <c r="P34" s="26">
        <f>+O34/$G$14</f>
        <v>2.9849219932055009</v>
      </c>
      <c r="Q34" s="26">
        <f>+(O34/($G$14*$G$15*$G$17)/$G$16)*100</f>
        <v>1.0646781523049651</v>
      </c>
      <c r="R34" s="26"/>
      <c r="S34" s="27">
        <v>25954.239180650729</v>
      </c>
      <c r="T34" s="28">
        <f t="shared" si="12"/>
        <v>2.3375458420677879</v>
      </c>
      <c r="U34" s="28">
        <f t="shared" si="13"/>
        <v>0.84269599635989678</v>
      </c>
      <c r="V34" s="26"/>
      <c r="W34" s="27">
        <v>42367.594336996612</v>
      </c>
      <c r="X34" s="28">
        <f t="shared" si="14"/>
        <v>3.8726148988362548</v>
      </c>
      <c r="Y34" s="26">
        <f t="shared" si="15"/>
        <v>1.4363364538536503</v>
      </c>
      <c r="Z34" s="26"/>
      <c r="AA34" s="27">
        <v>50570.326567347278</v>
      </c>
      <c r="AB34" s="26">
        <f t="shared" si="16"/>
        <v>4.8231630419381348</v>
      </c>
      <c r="AC34" s="26">
        <f t="shared" si="17"/>
        <v>1.7500560306146193</v>
      </c>
      <c r="AD34" s="26"/>
      <c r="AE34" s="27">
        <v>52347</v>
      </c>
      <c r="AF34" s="26">
        <f>+AE34/$L$14</f>
        <v>4.1886236305255347</v>
      </c>
      <c r="AG34" s="26">
        <f t="shared" si="22"/>
        <v>1.5086000024225701</v>
      </c>
      <c r="AH34" s="26"/>
      <c r="AI34" s="27">
        <v>46746</v>
      </c>
      <c r="AJ34" s="26">
        <f t="shared" si="18"/>
        <v>3.6627342430535825</v>
      </c>
      <c r="AK34" s="26">
        <f t="shared" si="19"/>
        <v>1.3118244548741262</v>
      </c>
      <c r="AL34" s="26"/>
      <c r="AM34" s="27">
        <v>37720</v>
      </c>
      <c r="AN34" s="26">
        <f t="shared" si="20"/>
        <v>3.1057505194789723</v>
      </c>
      <c r="AO34" s="26">
        <f t="shared" si="21"/>
        <v>1.1549756553097796</v>
      </c>
      <c r="AP34" s="26"/>
      <c r="AQ34" s="12" t="s">
        <v>126</v>
      </c>
      <c r="AR34" s="32"/>
      <c r="AS34" s="18"/>
      <c r="AT34" s="12"/>
      <c r="AU34" s="12"/>
      <c r="AV34" s="12"/>
      <c r="AW34" s="12"/>
      <c r="AX34" s="12"/>
    </row>
    <row r="35" spans="2:50" ht="16.5" x14ac:dyDescent="0.45">
      <c r="B35" s="70" t="s">
        <v>61</v>
      </c>
      <c r="C35" s="69">
        <f>+C26+C30</f>
        <v>302335.94970408612</v>
      </c>
      <c r="D35" s="73">
        <f t="shared" ref="D35:E35" si="23">+D26+D30</f>
        <v>27.201917980989389</v>
      </c>
      <c r="E35" s="73">
        <f t="shared" si="23"/>
        <v>10.127793075246544</v>
      </c>
      <c r="F35" s="12"/>
      <c r="G35" s="69">
        <f>+G26+G30</f>
        <v>342219.83644763404</v>
      </c>
      <c r="H35" s="73">
        <f t="shared" ref="H35:I35" si="24">+H26+H30</f>
        <v>33.414024088554072</v>
      </c>
      <c r="I35" s="73">
        <f t="shared" si="24"/>
        <v>12.473390101766768</v>
      </c>
      <c r="J35" s="12"/>
      <c r="K35" s="69">
        <f>+K26+K30</f>
        <v>308759.34232178674</v>
      </c>
      <c r="L35" s="73">
        <f t="shared" ref="L35:M35" si="25">+L26+L30</f>
        <v>27.181425117688043</v>
      </c>
      <c r="M35" s="73">
        <f t="shared" si="25"/>
        <v>10.098823112343318</v>
      </c>
      <c r="N35" s="12"/>
      <c r="O35" s="69">
        <f>+O26+O30</f>
        <v>320353.77500485111</v>
      </c>
      <c r="P35" s="73">
        <f>+P26+P30</f>
        <v>29.538936003581142</v>
      </c>
      <c r="Q35" s="73">
        <f>+Q26+Q30</f>
        <v>10.536107769963492</v>
      </c>
      <c r="R35" s="34"/>
      <c r="S35" s="69">
        <f>+S26+S30</f>
        <v>246419.51684515731</v>
      </c>
      <c r="T35" s="73">
        <f>+T26+T30</f>
        <v>22.193558169687357</v>
      </c>
      <c r="U35" s="73">
        <f>+U26+U30</f>
        <v>8.0008795027659829</v>
      </c>
      <c r="V35" s="34"/>
      <c r="W35" s="69">
        <f>+W26+W30</f>
        <v>317498.29849676043</v>
      </c>
      <c r="X35" s="73">
        <f>+X26+X30</f>
        <v>29.0209689824196</v>
      </c>
      <c r="Y35" s="73">
        <f>+Y26+Y30</f>
        <v>10.763754404841963</v>
      </c>
      <c r="Z35" s="34"/>
      <c r="AA35" s="69">
        <f>+AA26+AA30</f>
        <v>375062.31835898652</v>
      </c>
      <c r="AB35" s="73">
        <f>+AB26+AB30</f>
        <v>35.771703192851085</v>
      </c>
      <c r="AC35" s="73">
        <f>+AC26+AC30</f>
        <v>12.979549800342053</v>
      </c>
      <c r="AD35" s="34"/>
      <c r="AE35" s="69">
        <f>+AE26+AE30</f>
        <v>436710.39837339416</v>
      </c>
      <c r="AF35" s="73">
        <f>+AF26+AF30</f>
        <v>34.944036799110144</v>
      </c>
      <c r="AG35" s="73">
        <f>+AG26+AG30</f>
        <v>12.585655492082907</v>
      </c>
      <c r="AH35" s="34"/>
      <c r="AI35" s="69">
        <f>+AI26+AI30</f>
        <v>439655.45270946249</v>
      </c>
      <c r="AJ35" s="73">
        <f>+AJ26+AJ30</f>
        <v>34.448746027129019</v>
      </c>
      <c r="AK35" s="73">
        <f>+AK26+AK30</f>
        <v>12.337970619583016</v>
      </c>
      <c r="AL35" s="34"/>
      <c r="AM35" s="69">
        <f>+AM26+AM30</f>
        <v>393631.2348118386</v>
      </c>
      <c r="AN35" s="73">
        <f>+AN26+AN30</f>
        <v>32.410403287381143</v>
      </c>
      <c r="AO35" s="73">
        <f>+AO26+AO30</f>
        <v>12.052876282534491</v>
      </c>
      <c r="AP35" s="34"/>
      <c r="AQ35" s="12"/>
      <c r="AR35" s="32"/>
      <c r="AS35" s="18"/>
      <c r="AT35" s="12"/>
      <c r="AU35" s="12"/>
      <c r="AV35" s="12"/>
      <c r="AW35" s="12"/>
      <c r="AX35" s="12"/>
    </row>
    <row r="36" spans="2:50" ht="18.5" x14ac:dyDescent="0.45">
      <c r="B36" s="12" t="s">
        <v>133</v>
      </c>
      <c r="C36" s="16">
        <f>-C68+IF(C11="SG&amp;A",0,'1. Total Cash Cost Evolution '!C63)</f>
        <v>57233.289676698507</v>
      </c>
      <c r="D36" s="32">
        <f>+C36/$C$14</f>
        <v>5.1494215394879275</v>
      </c>
      <c r="E36" s="32">
        <f>+(C36/($C$14*$C$15*$C$17)/$C$16)*100</f>
        <v>1.9172278897980244</v>
      </c>
      <c r="F36" s="12"/>
      <c r="G36" s="16">
        <f>-D68+IF(C11="SG&amp;A",0,D63)</f>
        <v>66082.971788900089</v>
      </c>
      <c r="H36" s="32">
        <f>+G36/$D$14</f>
        <v>6.4522794298495505</v>
      </c>
      <c r="I36" s="32">
        <f>+(G36/($D$14*$D$15*$D$17)/$D$16)*100</f>
        <v>2.4086233421280032</v>
      </c>
      <c r="J36" s="12"/>
      <c r="K36" s="16">
        <f>-E68+IF(C11="SG&amp;A",0,E63)</f>
        <v>54330.514414838515</v>
      </c>
      <c r="L36" s="32">
        <f>+K36/$E$14</f>
        <v>4.782951013133439</v>
      </c>
      <c r="M36" s="32">
        <f>+(K36/($E$14*$E$15*$E$17)/$E$16)*100</f>
        <v>1.7770288359606903</v>
      </c>
      <c r="N36" s="12"/>
      <c r="O36" s="35">
        <f>-G68+IF($C$11="SG&amp;A",0,G63)</f>
        <v>45232.060109066719</v>
      </c>
      <c r="P36" s="32">
        <f>+O36/$G$14</f>
        <v>4.1707232226360524</v>
      </c>
      <c r="Q36" s="26">
        <f>+(O36/($G$14*$G$15*$G$17)/$G$16)*100</f>
        <v>1.4876361608642723</v>
      </c>
      <c r="R36" s="32"/>
      <c r="S36" s="35">
        <f>-H68+IF($C$11="SG&amp;A",0,H63)</f>
        <v>40962.566364068</v>
      </c>
      <c r="T36" s="36">
        <f>+S36/$H$14</f>
        <v>3.6892576976842157</v>
      </c>
      <c r="U36" s="28">
        <f>+(S36/($H$14*$H$15*$H$17)/$H$16)*100</f>
        <v>1.3299943194390029</v>
      </c>
      <c r="V36" s="32"/>
      <c r="W36" s="35">
        <f>-I68+IF($C$11="SG&amp;A",0,I63)</f>
        <v>45185.557445085447</v>
      </c>
      <c r="X36" s="36">
        <f>+W36/$I$14</f>
        <v>4.1301911451992988</v>
      </c>
      <c r="Y36" s="26">
        <f>+(W36/($I$14*$I$15*$I$17)/$I$16)*100</f>
        <v>1.531870392022717</v>
      </c>
      <c r="Z36" s="32"/>
      <c r="AA36" s="35">
        <f>-K68+IF($C$11="SG&amp;A",0,K63)</f>
        <v>50311</v>
      </c>
      <c r="AB36" s="26">
        <f t="shared" si="16"/>
        <v>4.7984296775261743</v>
      </c>
      <c r="AC36" s="26">
        <f t="shared" ref="AC36" si="26">+(AA36/($K$14*$K$15*$K$17)/$K$16)*100</f>
        <v>1.7410816764055304</v>
      </c>
      <c r="AD36" s="32"/>
      <c r="AE36" s="35">
        <f>-L68+IF($C$11="SG&amp;A",0,L63)</f>
        <v>73721</v>
      </c>
      <c r="AF36" s="26">
        <f>+AE36/$L$14</f>
        <v>5.8988962627461543</v>
      </c>
      <c r="AG36" s="26">
        <f>+(AE36/($L$14*$L$15*$L$17)/$L$16)*100</f>
        <v>2.1245821303722141</v>
      </c>
      <c r="AH36" s="32"/>
      <c r="AI36" s="35">
        <f>-M68+IF($C$11="SG&amp;A",0,M63)</f>
        <v>69493</v>
      </c>
      <c r="AJ36" s="26">
        <f>+AI36/$M$14</f>
        <v>5.4450517852334448</v>
      </c>
      <c r="AK36" s="26">
        <f>+(AI36/($M$14*$M$15*$M$17)/$M$16)*100</f>
        <v>1.9501693587166313</v>
      </c>
      <c r="AL36" s="32"/>
      <c r="AM36" s="35">
        <f>-O68+IF($C$11="SG&amp;A",0,O63)</f>
        <v>66225</v>
      </c>
      <c r="AN36" s="26">
        <f>+AM36/$O$14</f>
        <v>5.4527658577013502</v>
      </c>
      <c r="AO36" s="26">
        <f>+(AM36/($O$14*$O$15*$O$17)/$O$16)*100</f>
        <v>2.0277906355485191</v>
      </c>
      <c r="AP36" s="32"/>
      <c r="AQ36" s="12" t="s">
        <v>25</v>
      </c>
      <c r="AR36" s="33"/>
      <c r="AS36" s="33"/>
      <c r="AT36" s="12"/>
      <c r="AU36" s="12"/>
      <c r="AV36" s="12"/>
      <c r="AW36" s="12"/>
      <c r="AX36" s="12"/>
    </row>
    <row r="37" spans="2:50" ht="16.5" x14ac:dyDescent="0.45">
      <c r="B37" s="70" t="s">
        <v>62</v>
      </c>
      <c r="C37" s="69">
        <f t="shared" ref="C37" si="27">C35+C36</f>
        <v>359569.23938078462</v>
      </c>
      <c r="D37" s="73">
        <f>D35+D36</f>
        <v>32.351339520477318</v>
      </c>
      <c r="E37" s="73">
        <f>E35+E36</f>
        <v>12.045020965044568</v>
      </c>
      <c r="F37" s="12"/>
      <c r="G37" s="69">
        <f>G35+G36</f>
        <v>408302.80823653413</v>
      </c>
      <c r="H37" s="73">
        <f>H35+H36</f>
        <v>39.866303518403626</v>
      </c>
      <c r="I37" s="73">
        <f>I35+I36</f>
        <v>14.88201344389477</v>
      </c>
      <c r="J37" s="12"/>
      <c r="K37" s="69">
        <f>K35+K36</f>
        <v>363089.85673662525</v>
      </c>
      <c r="L37" s="73">
        <f>L35+L36</f>
        <v>31.964376130821481</v>
      </c>
      <c r="M37" s="73">
        <f>M35+M36</f>
        <v>11.875851948304009</v>
      </c>
      <c r="N37" s="12"/>
      <c r="O37" s="69">
        <f>O35+O36</f>
        <v>365585.83511391783</v>
      </c>
      <c r="P37" s="73">
        <f>P35+P36</f>
        <v>33.709659226217198</v>
      </c>
      <c r="Q37" s="73">
        <f>Q35+Q36</f>
        <v>12.023743930827763</v>
      </c>
      <c r="R37" s="34"/>
      <c r="S37" s="69">
        <f>S35+S36</f>
        <v>287382.08320922533</v>
      </c>
      <c r="T37" s="73">
        <f>T35+T36</f>
        <v>25.882815867371573</v>
      </c>
      <c r="U37" s="73">
        <f>U35+U36</f>
        <v>9.3308738222049854</v>
      </c>
      <c r="V37" s="34"/>
      <c r="W37" s="69">
        <f>W35+W36</f>
        <v>362683.85594184586</v>
      </c>
      <c r="X37" s="73">
        <f>X35+X36</f>
        <v>33.151160127618901</v>
      </c>
      <c r="Y37" s="73">
        <f>Y35+Y36</f>
        <v>12.295624796864679</v>
      </c>
      <c r="Z37" s="34"/>
      <c r="AA37" s="69">
        <f>AA35+AA36</f>
        <v>425373.31835898652</v>
      </c>
      <c r="AB37" s="73">
        <f>AB35+AB36</f>
        <v>40.570132870377257</v>
      </c>
      <c r="AC37" s="73">
        <f>AC35+AC36</f>
        <v>14.720631476747583</v>
      </c>
      <c r="AD37" s="34"/>
      <c r="AE37" s="69">
        <f>AE35+AE36</f>
        <v>510431.39837339416</v>
      </c>
      <c r="AF37" s="73">
        <f>AF35+AF36</f>
        <v>40.8429330618563</v>
      </c>
      <c r="AG37" s="73">
        <f>AG35+AG36</f>
        <v>14.710237622455121</v>
      </c>
      <c r="AH37" s="34"/>
      <c r="AI37" s="69">
        <f>AI35+AI36</f>
        <v>509148.45270946249</v>
      </c>
      <c r="AJ37" s="73">
        <f>AJ35+AJ36</f>
        <v>39.893797812362465</v>
      </c>
      <c r="AK37" s="73">
        <f>AK35+AK36</f>
        <v>14.288139978299647</v>
      </c>
      <c r="AL37" s="34"/>
      <c r="AM37" s="69">
        <f>AM35+AM36</f>
        <v>459856.2348118386</v>
      </c>
      <c r="AN37" s="73">
        <f>AN35+AN36</f>
        <v>37.863169145082495</v>
      </c>
      <c r="AO37" s="73">
        <f>AO35+AO36</f>
        <v>14.080666918083011</v>
      </c>
      <c r="AP37" s="34"/>
      <c r="AQ37" s="12"/>
      <c r="AR37" s="12"/>
      <c r="AS37" s="12"/>
      <c r="AT37" s="12"/>
      <c r="AU37" s="12"/>
      <c r="AV37" s="12"/>
      <c r="AW37" s="12"/>
      <c r="AX37" s="12"/>
    </row>
    <row r="38" spans="2:50" ht="16.5" x14ac:dyDescent="0.45">
      <c r="B38" s="12" t="s">
        <v>16</v>
      </c>
      <c r="C38" s="37">
        <v>-122208</v>
      </c>
      <c r="D38" s="28">
        <f>+C38/$C$14</f>
        <v>-10.995357964788608</v>
      </c>
      <c r="E38" s="28">
        <f>+(C38/($C$14*$C$15*$C$17)/$C$16)*100</f>
        <v>-4.0937815610453745</v>
      </c>
      <c r="F38" s="12"/>
      <c r="G38" s="37">
        <v>-144448.83929737017</v>
      </c>
      <c r="H38" s="28">
        <f>+G38/$D$14</f>
        <v>-14.103849285734096</v>
      </c>
      <c r="I38" s="28">
        <f>+(G38/($D$14*$D$15*$D$17)/$D$16)*100</f>
        <v>-5.2649394640781422</v>
      </c>
      <c r="J38" s="12"/>
      <c r="K38" s="37">
        <v>-143201.82575508824</v>
      </c>
      <c r="L38" s="28">
        <f>+K38/$E$14</f>
        <v>-12.606678308769943</v>
      </c>
      <c r="M38" s="28">
        <f>+(K38/($E$14*$E$15*$E$17)/$E$16)*100</f>
        <v>-4.683809392747242</v>
      </c>
      <c r="N38" s="12"/>
      <c r="O38" s="38">
        <v>-157657</v>
      </c>
      <c r="P38" s="28">
        <f>+O38/$G$14</f>
        <v>-14.537116141197561</v>
      </c>
      <c r="Q38" s="28">
        <f>+(O38/($G$14*$G$15*$G$17)/$G$16)*100</f>
        <v>-5.1851773641936338</v>
      </c>
      <c r="R38" s="28"/>
      <c r="S38" s="38">
        <v>-122515</v>
      </c>
      <c r="T38" s="28">
        <f>+S38/$H$14</f>
        <v>-11.034206275421814</v>
      </c>
      <c r="U38" s="28">
        <f>+(S38/($H$14*$H$15*$H$17)/$H$16)*100</f>
        <v>-3.9778819666192282</v>
      </c>
      <c r="V38" s="28"/>
      <c r="W38" s="38">
        <v>-143981.05068481553</v>
      </c>
      <c r="X38" s="28">
        <f>+W38/$I$14</f>
        <v>-13.16060472060404</v>
      </c>
      <c r="Y38" s="28">
        <f>+(W38/($I$14*$I$15*$I$17)/$I$16)*100</f>
        <v>-4.8812125162877686</v>
      </c>
      <c r="Z38" s="28"/>
      <c r="AA38" s="38">
        <v>-160919.91023829184</v>
      </c>
      <c r="AB38" s="28">
        <f>+AA38/$K$14</f>
        <v>-15.347794180045469</v>
      </c>
      <c r="AC38" s="28">
        <f>+(AA38/($K$14*$K$15*$K$17)/$K$16)*100</f>
        <v>-5.5688558582559011</v>
      </c>
      <c r="AD38" s="28"/>
      <c r="AE38" s="38">
        <v>-175903</v>
      </c>
      <c r="AF38" s="28">
        <f>+AE38/$L$14</f>
        <v>-14.075142080354809</v>
      </c>
      <c r="AG38" s="28">
        <f>+(AE38/($L$14*$L$15*$L$17)/$L$16)*100</f>
        <v>-5.0693882405130637</v>
      </c>
      <c r="AH38" s="28"/>
      <c r="AI38" s="38">
        <v>-189007</v>
      </c>
      <c r="AJ38" s="28">
        <f>+AI38/$M$14</f>
        <v>-14.809447034544741</v>
      </c>
      <c r="AK38" s="28">
        <f>+(AI38/($M$14*$M$15*$M$17)/$M$16)*100</f>
        <v>-5.3040688987805149</v>
      </c>
      <c r="AL38" s="28"/>
      <c r="AM38" s="38">
        <v>-148710</v>
      </c>
      <c r="AN38" s="28">
        <f>+AM38/$O$14</f>
        <v>-12.244330852378525</v>
      </c>
      <c r="AO38" s="28">
        <f>+(AM38/($O$14*$O$15*$O$17)/$O$16)*100</f>
        <v>-4.553457839372145</v>
      </c>
      <c r="AP38" s="28"/>
      <c r="AQ38" s="12" t="s">
        <v>17</v>
      </c>
      <c r="AR38" s="12"/>
      <c r="AS38" s="12"/>
      <c r="AT38" s="12"/>
      <c r="AU38" s="12"/>
      <c r="AV38" s="12"/>
      <c r="AW38" s="12"/>
      <c r="AX38" s="12"/>
    </row>
    <row r="39" spans="2:50" ht="16.5" x14ac:dyDescent="0.45">
      <c r="B39" s="70" t="s">
        <v>3</v>
      </c>
      <c r="C39" s="69">
        <f>+C37+C38</f>
        <v>237361.23938078462</v>
      </c>
      <c r="D39" s="73">
        <f t="shared" ref="D39:E39" si="28">+D37+D38</f>
        <v>21.355981555688707</v>
      </c>
      <c r="E39" s="73">
        <f t="shared" si="28"/>
        <v>7.9512394039991934</v>
      </c>
      <c r="F39" s="12"/>
      <c r="G39" s="69">
        <f>+G37+G38</f>
        <v>263853.96893916395</v>
      </c>
      <c r="H39" s="73">
        <f t="shared" ref="H39" si="29">+H37+H38</f>
        <v>25.76245423266953</v>
      </c>
      <c r="I39" s="73">
        <f t="shared" ref="I39" si="30">+I37+I38</f>
        <v>9.6170739798166274</v>
      </c>
      <c r="J39" s="12"/>
      <c r="K39" s="69">
        <f>+K37+K38</f>
        <v>219888.03098153701</v>
      </c>
      <c r="L39" s="73">
        <f t="shared" ref="L39" si="31">+L37+L38</f>
        <v>19.357697822051538</v>
      </c>
      <c r="M39" s="73">
        <f t="shared" ref="M39" si="32">+M37+M38</f>
        <v>7.1920425555567666</v>
      </c>
      <c r="N39" s="12"/>
      <c r="O39" s="69">
        <f>+O37+O38</f>
        <v>207928.83511391783</v>
      </c>
      <c r="P39" s="73">
        <f>+P37+P38</f>
        <v>19.172543085019637</v>
      </c>
      <c r="Q39" s="73">
        <f>+Q37+Q38</f>
        <v>6.8385665666341291</v>
      </c>
      <c r="R39" s="34"/>
      <c r="S39" s="69">
        <f>+S37+S38</f>
        <v>164867.08320922533</v>
      </c>
      <c r="T39" s="73">
        <f>+T37+T38</f>
        <v>14.848609591949758</v>
      </c>
      <c r="U39" s="73">
        <f>+U37+U38</f>
        <v>5.3529918555857572</v>
      </c>
      <c r="V39" s="34"/>
      <c r="W39" s="69">
        <f>+W37+W38</f>
        <v>218702.80525703033</v>
      </c>
      <c r="X39" s="73">
        <f>+X37+X38</f>
        <v>19.99055540701486</v>
      </c>
      <c r="Y39" s="73">
        <f>+Y37+Y38</f>
        <v>7.4144122805769106</v>
      </c>
      <c r="Z39" s="34"/>
      <c r="AA39" s="69">
        <f>+AA37+AA38</f>
        <v>264453.40812069469</v>
      </c>
      <c r="AB39" s="73">
        <f>+AB37+AB38</f>
        <v>25.222338690331789</v>
      </c>
      <c r="AC39" s="73">
        <f>+AC37+AC38</f>
        <v>9.1517756184916816</v>
      </c>
      <c r="AD39" s="34"/>
      <c r="AE39" s="69">
        <f>+AE37+AE38</f>
        <v>334528.39837339416</v>
      </c>
      <c r="AF39" s="73">
        <f>+AF37+AF38</f>
        <v>26.767790981501491</v>
      </c>
      <c r="AG39" s="73">
        <f>+AG37+AG38</f>
        <v>9.6408493819420578</v>
      </c>
      <c r="AH39" s="34"/>
      <c r="AI39" s="69">
        <f>+AI37+AI38</f>
        <v>320141.45270946249</v>
      </c>
      <c r="AJ39" s="73">
        <f>+AJ37+AJ38</f>
        <v>25.084350777817725</v>
      </c>
      <c r="AK39" s="73">
        <f>+AK37+AK38</f>
        <v>8.9840710795191328</v>
      </c>
      <c r="AL39" s="34"/>
      <c r="AM39" s="69">
        <f>+AM37+AM38</f>
        <v>311146.2348118386</v>
      </c>
      <c r="AN39" s="73">
        <f>+AN37+AN38</f>
        <v>25.61883829270397</v>
      </c>
      <c r="AO39" s="73">
        <f>+AO37+AO38</f>
        <v>9.5272090787108663</v>
      </c>
      <c r="AP39" s="34"/>
      <c r="AQ39" s="12"/>
      <c r="AR39" s="12"/>
      <c r="AS39" s="12"/>
      <c r="AT39" s="12"/>
      <c r="AU39" s="12"/>
      <c r="AV39" s="12"/>
      <c r="AW39" s="12"/>
      <c r="AX39" s="12"/>
    </row>
    <row r="40" spans="2:50" ht="18.5" x14ac:dyDescent="0.45">
      <c r="B40" s="11" t="s">
        <v>134</v>
      </c>
      <c r="C40" s="82">
        <v>80683.1343996285</v>
      </c>
      <c r="D40" s="33">
        <f>+D41+D42+D43</f>
        <v>7.2592624414528082</v>
      </c>
      <c r="E40" s="33">
        <f>+E41+E42+E43</f>
        <v>2.7027619132343617</v>
      </c>
      <c r="F40" s="12"/>
      <c r="G40" s="82">
        <f>+G41+G42+G43</f>
        <v>122522.61410098511</v>
      </c>
      <c r="H40" s="33">
        <f>+H41+H42+H43</f>
        <v>11.962993207699064</v>
      </c>
      <c r="I40" s="33">
        <f>+I41+I42+I43</f>
        <v>4.465762060533482</v>
      </c>
      <c r="J40" s="12"/>
      <c r="K40" s="82">
        <f>+K41+K42+K43</f>
        <v>117269</v>
      </c>
      <c r="L40" s="33">
        <f>+L41+L42+L43</f>
        <v>10.323699092492982</v>
      </c>
      <c r="M40" s="33">
        <f>+M41+M42+M43</f>
        <v>3.8356050335381977</v>
      </c>
      <c r="N40" s="12"/>
      <c r="O40" s="82">
        <f>+O41+O42+O43</f>
        <v>119902.39746887275</v>
      </c>
      <c r="P40" s="33">
        <f>+P41+P42+P43</f>
        <v>11.055868611054603</v>
      </c>
      <c r="Q40" s="33">
        <f>+Q41+Q42+Q43</f>
        <v>3.9434671297065584</v>
      </c>
      <c r="R40" s="33"/>
      <c r="S40" s="82">
        <f>+S41+S42+S43</f>
        <v>105419.63360997102</v>
      </c>
      <c r="T40" s="44">
        <f t="shared" ref="T40:T43" si="33">+S40/$H$14</f>
        <v>9.4945270598033762</v>
      </c>
      <c r="U40" s="44">
        <f t="shared" ref="U40:U44" si="34">+(S40/($H$14*$H$15*$H$17)/$H$16)*100</f>
        <v>3.4228205482162184</v>
      </c>
      <c r="V40" s="33"/>
      <c r="W40" s="82">
        <f>+W41+W42+W43</f>
        <v>127908.55025559153</v>
      </c>
      <c r="X40" s="44">
        <f t="shared" ref="X40:X43" si="35">+W40/$I$14</f>
        <v>11.691495945423643</v>
      </c>
      <c r="Y40" s="33">
        <f t="shared" ref="Y40:Y44" si="36">+(W40/($I$14*$I$15*$I$17)/$I$16)*100</f>
        <v>4.3363262976498147</v>
      </c>
      <c r="Z40" s="33"/>
      <c r="AA40" s="82">
        <f>+AA41+AA42+AA43</f>
        <v>140665.03465520786</v>
      </c>
      <c r="AB40" s="44">
        <f>+AA40/$K$14</f>
        <v>13.415978153481289</v>
      </c>
      <c r="AC40" s="33">
        <f>+(AA40/($K$14*$K$15*$K$17)/$K$16)*100</f>
        <v>4.8679078998455871</v>
      </c>
      <c r="AD40" s="33"/>
      <c r="AE40" s="82">
        <f>+AE41+AE42+AE43</f>
        <v>175540.90417409217</v>
      </c>
      <c r="AF40" s="44">
        <f>+AE40/$L$14</f>
        <v>14.046168440358013</v>
      </c>
      <c r="AG40" s="33">
        <f t="shared" ref="AG40:AG43" si="37">+(AE40/($L$14*$L$15*$L$17)/$L$16)*100</f>
        <v>5.0589529192178277</v>
      </c>
      <c r="AH40" s="39"/>
      <c r="AI40" s="82">
        <f>+AI41+AI42+AI43</f>
        <v>157573.30715399113</v>
      </c>
      <c r="AJ40" s="33">
        <f t="shared" ref="AJ40:AJ44" si="38">+AI40/$M$14</f>
        <v>12.346492703207192</v>
      </c>
      <c r="AK40" s="33">
        <f t="shared" ref="AK40:AK44" si="39">+(AI40/($M$14*$M$15*$M$17)/$M$16)*100</f>
        <v>4.4219509211482837</v>
      </c>
      <c r="AL40" s="39"/>
      <c r="AM40" s="82">
        <f>+AM41+AM42+AM43</f>
        <v>133191.08386240117</v>
      </c>
      <c r="AN40" s="33">
        <f t="shared" ref="AN40:AN44" si="40">+AM40/$O$14</f>
        <v>10.966550315366378</v>
      </c>
      <c r="AO40" s="33">
        <f t="shared" ref="AO40:AO44" si="41">+(AM40/($O$14*$O$15*$O$17)/$O$16)*100</f>
        <v>4.078273047863112</v>
      </c>
      <c r="AP40" s="39"/>
      <c r="AQ40" s="12"/>
      <c r="AR40" s="32"/>
      <c r="AS40" s="18"/>
      <c r="AT40" s="12"/>
      <c r="AU40" s="12"/>
      <c r="AV40" s="12"/>
      <c r="AW40" s="12"/>
      <c r="AX40" s="12"/>
    </row>
    <row r="41" spans="2:50" ht="16.5" x14ac:dyDescent="0.45">
      <c r="B41" s="24" t="s">
        <v>11</v>
      </c>
      <c r="C41" s="25">
        <v>45741.454516301528</v>
      </c>
      <c r="D41" s="26">
        <f>+C41/$C$14</f>
        <v>4.1154725241950763</v>
      </c>
      <c r="E41" s="26">
        <f>+(C41/($C$14*$C$15*$C$17)/$C$16)*100</f>
        <v>1.5322689437207946</v>
      </c>
      <c r="F41" s="12"/>
      <c r="G41" s="25">
        <v>51142.421606630596</v>
      </c>
      <c r="H41" s="26">
        <f>+G41/$D$14</f>
        <v>4.9934981129372149</v>
      </c>
      <c r="I41" s="26">
        <f>+(G41/($D$14*$D$15*$D$17)/$D$16)*100</f>
        <v>1.8640631182293914</v>
      </c>
      <c r="J41" s="12"/>
      <c r="K41" s="40">
        <v>57531</v>
      </c>
      <c r="L41" s="26">
        <f>+K41/$E$14</f>
        <v>5.0647036513504311</v>
      </c>
      <c r="M41" s="26">
        <f>+(K41/($E$14*$E$15*$E$17)/$E$16)*100</f>
        <v>1.8817095155965007</v>
      </c>
      <c r="N41" s="12"/>
      <c r="O41" s="41">
        <v>50176.268485083063</v>
      </c>
      <c r="P41" s="26">
        <f>+O41/$G$14</f>
        <v>4.6266150091626983</v>
      </c>
      <c r="Q41" s="26">
        <f>+(O41/($G$14*$G$15*$G$17)/$G$16)*100</f>
        <v>1.6502461138329101</v>
      </c>
      <c r="R41" s="26"/>
      <c r="S41" s="41">
        <v>38607.289621021315</v>
      </c>
      <c r="T41" s="28">
        <f t="shared" si="33"/>
        <v>3.4771317586687416</v>
      </c>
      <c r="U41" s="28">
        <f t="shared" si="34"/>
        <v>1.2535219455863067</v>
      </c>
      <c r="V41" s="26"/>
      <c r="W41" s="41">
        <v>55728.210663624835</v>
      </c>
      <c r="X41" s="28">
        <f t="shared" si="35"/>
        <v>5.09384359151551</v>
      </c>
      <c r="Y41" s="26">
        <f t="shared" si="36"/>
        <v>1.8892850004066184</v>
      </c>
      <c r="Z41" s="26"/>
      <c r="AA41" s="41">
        <v>72915.740570454742</v>
      </c>
      <c r="AB41" s="26">
        <f t="shared" ref="AB41:AB43" si="42">+AA41/$K$14</f>
        <v>6.954364920436273</v>
      </c>
      <c r="AC41" s="26">
        <f t="shared" ref="AC41:AC43" si="43">+(AA41/($K$14*$K$15*$K$17)/$K$16)*100</f>
        <v>2.5233499598250497</v>
      </c>
      <c r="AD41" s="26"/>
      <c r="AE41" s="41">
        <v>101157</v>
      </c>
      <c r="AF41" s="26">
        <f>+AE41/$L$14</f>
        <v>8.0942289069683362</v>
      </c>
      <c r="AG41" s="26">
        <f t="shared" si="37"/>
        <v>2.9152664039020371</v>
      </c>
      <c r="AH41" s="26"/>
      <c r="AI41" s="41">
        <v>75649</v>
      </c>
      <c r="AJ41" s="26">
        <f t="shared" si="38"/>
        <v>5.9273987667984525</v>
      </c>
      <c r="AK41" s="26">
        <f t="shared" si="39"/>
        <v>2.1229240616688649</v>
      </c>
      <c r="AL41" s="26"/>
      <c r="AM41" s="41">
        <v>68509</v>
      </c>
      <c r="AN41" s="26">
        <f t="shared" si="40"/>
        <v>5.6408234978521978</v>
      </c>
      <c r="AO41" s="26">
        <f t="shared" si="41"/>
        <v>2.0977260649421443</v>
      </c>
      <c r="AP41" s="26"/>
      <c r="AQ41" s="12" t="s">
        <v>12</v>
      </c>
      <c r="AR41" s="12"/>
      <c r="AS41" s="12"/>
      <c r="AT41" s="12"/>
      <c r="AU41" s="42"/>
      <c r="AV41" s="12"/>
      <c r="AW41" s="12"/>
      <c r="AX41" s="12"/>
    </row>
    <row r="42" spans="2:50" ht="16.5" x14ac:dyDescent="0.45">
      <c r="B42" s="24" t="s">
        <v>13</v>
      </c>
      <c r="C42" s="25">
        <v>21398.834930415971</v>
      </c>
      <c r="D42" s="26">
        <f>+C42/$C$14</f>
        <v>1.9253064454810318</v>
      </c>
      <c r="E42" s="26">
        <f>+(C42/($C$14*$C$15*$C$17)/$C$16)*100</f>
        <v>0.7168283243813055</v>
      </c>
      <c r="F42" s="12"/>
      <c r="G42" s="25">
        <v>40699.490247175803</v>
      </c>
      <c r="H42" s="26">
        <f>+G42/$D$14</f>
        <v>3.9738600825352761</v>
      </c>
      <c r="I42" s="26">
        <f>+(G42/($D$14*$D$15*$D$17)/$D$16)*100</f>
        <v>1.4834342277343624</v>
      </c>
      <c r="J42" s="12"/>
      <c r="K42" s="40">
        <v>35258</v>
      </c>
      <c r="L42" s="26">
        <f>+K42/$E$14</f>
        <v>3.1039147822793538</v>
      </c>
      <c r="M42" s="26">
        <f>+(K42/($E$14*$E$15*$E$17)/$E$16)*100</f>
        <v>1.1532098190697437</v>
      </c>
      <c r="N42" s="12"/>
      <c r="O42" s="41">
        <v>45180</v>
      </c>
      <c r="P42" s="26">
        <f>+O42/$G$14</f>
        <v>4.1659229038945673</v>
      </c>
      <c r="Q42" s="26">
        <f>+(O42/($G$14*$G$15*$G$17)/$G$16)*100</f>
        <v>1.4859239571618663</v>
      </c>
      <c r="R42" s="26"/>
      <c r="S42" s="41">
        <v>46452.176486592187</v>
      </c>
      <c r="T42" s="28">
        <f t="shared" si="33"/>
        <v>4.1836746300074044</v>
      </c>
      <c r="U42" s="28">
        <f t="shared" si="34"/>
        <v>1.5082338910029693</v>
      </c>
      <c r="V42" s="26"/>
      <c r="W42" s="41">
        <v>42552.591605260546</v>
      </c>
      <c r="X42" s="28">
        <f t="shared" si="35"/>
        <v>3.8895245957056219</v>
      </c>
      <c r="Y42" s="26">
        <f t="shared" si="36"/>
        <v>1.4426081887592785</v>
      </c>
      <c r="Z42" s="26"/>
      <c r="AA42" s="41">
        <v>49519.029029220139</v>
      </c>
      <c r="AB42" s="26">
        <f t="shared" si="42"/>
        <v>4.7228951620140736</v>
      </c>
      <c r="AC42" s="26">
        <f t="shared" si="43"/>
        <v>1.7136744265899846</v>
      </c>
      <c r="AD42" s="26"/>
      <c r="AE42" s="41">
        <v>47546.300625359785</v>
      </c>
      <c r="AF42" s="26">
        <f>+AE42/$L$14</f>
        <v>3.8044884777246644</v>
      </c>
      <c r="AG42" s="26">
        <f t="shared" si="37"/>
        <v>1.3702475641125953</v>
      </c>
      <c r="AH42" s="26"/>
      <c r="AI42" s="41">
        <v>44844.403715239983</v>
      </c>
      <c r="AJ42" s="26">
        <f t="shared" si="38"/>
        <v>3.5137366426459757</v>
      </c>
      <c r="AK42" s="26">
        <f t="shared" si="39"/>
        <v>1.2584603058636017</v>
      </c>
      <c r="AL42" s="26"/>
      <c r="AM42" s="41">
        <v>34451.067550644089</v>
      </c>
      <c r="AN42" s="26">
        <f t="shared" si="40"/>
        <v>2.8365965255041896</v>
      </c>
      <c r="AO42" s="26">
        <f t="shared" si="41"/>
        <v>1.0548818748787552</v>
      </c>
      <c r="AP42" s="26"/>
      <c r="AQ42" s="12"/>
      <c r="AR42" s="12"/>
      <c r="AS42" s="12"/>
      <c r="AT42" s="12"/>
      <c r="AU42" s="42"/>
      <c r="AV42" s="12"/>
      <c r="AW42" s="12"/>
      <c r="AX42" s="12"/>
    </row>
    <row r="43" spans="2:50" ht="15.75" customHeight="1" x14ac:dyDescent="0.45">
      <c r="B43" s="24" t="s">
        <v>63</v>
      </c>
      <c r="C43" s="25">
        <v>13542.844952910986</v>
      </c>
      <c r="D43" s="26">
        <f>+C43/$C$14</f>
        <v>1.2184834717767006</v>
      </c>
      <c r="E43" s="26">
        <f>+(C43/($C$14*$C$15*$C$17)/$C$16)*100</f>
        <v>0.45366464513226146</v>
      </c>
      <c r="F43" s="12"/>
      <c r="G43" s="25">
        <v>30680.702247178713</v>
      </c>
      <c r="H43" s="26">
        <f>+G43/$D$14</f>
        <v>2.9956350122265745</v>
      </c>
      <c r="I43" s="26">
        <f>+(G43/($D$14*$D$15*$D$17)/$D$16)*100</f>
        <v>1.118264714569728</v>
      </c>
      <c r="J43" s="12"/>
      <c r="K43" s="40">
        <v>24480</v>
      </c>
      <c r="L43" s="26">
        <f>+K43/$E$14</f>
        <v>2.1550806588631963</v>
      </c>
      <c r="M43" s="26">
        <f>+(K43/($E$14*$E$15*$E$17)/$E$16)*100</f>
        <v>0.80068569887195318</v>
      </c>
      <c r="N43" s="12"/>
      <c r="O43" s="41">
        <v>24546.128983789677</v>
      </c>
      <c r="P43" s="26">
        <f>+O43/$G$14</f>
        <v>2.2633306979973371</v>
      </c>
      <c r="Q43" s="26">
        <f>+(O43/($G$14*$G$15*$G$17)/$G$16)*100</f>
        <v>0.80729705871178248</v>
      </c>
      <c r="R43" s="26"/>
      <c r="S43" s="41">
        <v>20360.167502357523</v>
      </c>
      <c r="T43" s="28">
        <f t="shared" si="33"/>
        <v>1.8337206711272307</v>
      </c>
      <c r="U43" s="28">
        <f t="shared" si="34"/>
        <v>0.66106471162694236</v>
      </c>
      <c r="V43" s="26"/>
      <c r="W43" s="41">
        <v>29627.747986706148</v>
      </c>
      <c r="X43" s="28">
        <f t="shared" si="35"/>
        <v>2.7081277582025121</v>
      </c>
      <c r="Y43" s="26">
        <f t="shared" si="36"/>
        <v>1.004433108483918</v>
      </c>
      <c r="Z43" s="26"/>
      <c r="AA43" s="41">
        <v>18230.265055532971</v>
      </c>
      <c r="AB43" s="26">
        <f t="shared" si="42"/>
        <v>1.7387180710309427</v>
      </c>
      <c r="AC43" s="26">
        <f t="shared" si="43"/>
        <v>0.63088351343055205</v>
      </c>
      <c r="AD43" s="26"/>
      <c r="AE43" s="41">
        <v>26837.603548732382</v>
      </c>
      <c r="AF43" s="26">
        <f>+AE43/$L$14</f>
        <v>2.1474510556650124</v>
      </c>
      <c r="AG43" s="26">
        <f t="shared" si="37"/>
        <v>0.77343895120319506</v>
      </c>
      <c r="AH43" s="26"/>
      <c r="AI43" s="41">
        <v>37079.903438751157</v>
      </c>
      <c r="AJ43" s="26">
        <f t="shared" si="38"/>
        <v>2.9053572937627639</v>
      </c>
      <c r="AK43" s="26">
        <f t="shared" si="39"/>
        <v>1.0405665536158168</v>
      </c>
      <c r="AL43" s="26"/>
      <c r="AM43" s="41">
        <v>30231.016311757085</v>
      </c>
      <c r="AN43" s="26">
        <f t="shared" si="40"/>
        <v>2.4891302920099907</v>
      </c>
      <c r="AO43" s="26">
        <f t="shared" si="41"/>
        <v>0.92566510804221303</v>
      </c>
      <c r="AP43" s="26"/>
      <c r="AQ43" s="12"/>
      <c r="AR43" s="32"/>
      <c r="AS43" s="18"/>
      <c r="AT43" s="12"/>
      <c r="AU43" s="12"/>
      <c r="AV43" s="12"/>
      <c r="AW43" s="12"/>
      <c r="AX43" s="12"/>
    </row>
    <row r="44" spans="2:50" ht="16.5" x14ac:dyDescent="0.45">
      <c r="B44" s="11" t="s">
        <v>15</v>
      </c>
      <c r="C44" s="43">
        <v>-47110</v>
      </c>
      <c r="D44" s="44">
        <f>+C44/$C$14</f>
        <v>-4.2386039679987508</v>
      </c>
      <c r="E44" s="44">
        <f>+(C44/($C$14*$C$15*$C$17)/$C$16)*100</f>
        <v>-1.5781131295892874</v>
      </c>
      <c r="F44" s="12"/>
      <c r="G44" s="43">
        <v>-54495.297878002901</v>
      </c>
      <c r="H44" s="44">
        <f>+G44/$D$14</f>
        <v>-5.320869809623531</v>
      </c>
      <c r="I44" s="44">
        <f>+(G44/($D$14*$D$15*$D$17)/$D$16)*100</f>
        <v>-1.9862703348826067</v>
      </c>
      <c r="J44" s="12"/>
      <c r="K44" s="43">
        <v>-50734.461438613325</v>
      </c>
      <c r="L44" s="44">
        <f>+K44/$E$14</f>
        <v>-4.4663748604655327</v>
      </c>
      <c r="M44" s="44">
        <f>+(K44/($E$14*$E$15*$E$17)/$E$16)*100</f>
        <v>-1.6594100373312202</v>
      </c>
      <c r="N44" s="12"/>
      <c r="O44" s="45">
        <v>-53673.036015015954</v>
      </c>
      <c r="P44" s="44">
        <f>+O44/$G$14</f>
        <v>-4.9490422765939126</v>
      </c>
      <c r="Q44" s="44">
        <f>+(O44/($G$14*$G$15*$G$17)/$G$16)*100</f>
        <v>-1.7652512188650704</v>
      </c>
      <c r="R44" s="44"/>
      <c r="S44" s="45">
        <v>-27832.427900818409</v>
      </c>
      <c r="T44" s="44">
        <f>+S44/$H$14</f>
        <v>-2.5067032657506076</v>
      </c>
      <c r="U44" s="44">
        <f t="shared" si="34"/>
        <v>-0.90367802337587588</v>
      </c>
      <c r="V44" s="44"/>
      <c r="W44" s="45">
        <v>-36597.189233163743</v>
      </c>
      <c r="X44" s="44">
        <f>+W44/$I$14</f>
        <v>-3.345170347708879</v>
      </c>
      <c r="Y44" s="44">
        <f t="shared" si="36"/>
        <v>-1.2407095051481685</v>
      </c>
      <c r="Z44" s="44"/>
      <c r="AA44" s="45">
        <v>-27235.50473872232</v>
      </c>
      <c r="AB44" s="44">
        <f>+AA44/$K$14</f>
        <v>-2.5975960370632651</v>
      </c>
      <c r="AC44" s="44">
        <f>+(AA44/($K$14*$K$15*$K$17)/$K$16)*100</f>
        <v>-0.94252227640566522</v>
      </c>
      <c r="AD44" s="44"/>
      <c r="AE44" s="45">
        <v>-29040</v>
      </c>
      <c r="AF44" s="44">
        <f>+AE44/$L$14</f>
        <v>-2.3236791073120049</v>
      </c>
      <c r="AG44" s="44">
        <f>+(AE44/($L$14*$L$15*$L$17)/$L$16)*100</f>
        <v>-0.83691031139036509</v>
      </c>
      <c r="AH44" s="44"/>
      <c r="AI44" s="45">
        <v>-26748</v>
      </c>
      <c r="AJ44" s="44">
        <f t="shared" si="38"/>
        <v>-2.0958117386128703</v>
      </c>
      <c r="AK44" s="44">
        <f t="shared" si="39"/>
        <v>-0.7506242356345596</v>
      </c>
      <c r="AL44" s="44"/>
      <c r="AM44" s="45">
        <v>-26540</v>
      </c>
      <c r="AN44" s="44">
        <f t="shared" si="40"/>
        <v>-2.185223191595226</v>
      </c>
      <c r="AO44" s="44">
        <f t="shared" si="41"/>
        <v>-0.81264723997671129</v>
      </c>
      <c r="AP44" s="44"/>
      <c r="AQ44" s="12" t="s">
        <v>127</v>
      </c>
      <c r="AR44" s="12"/>
      <c r="AS44" s="12"/>
      <c r="AT44" s="12"/>
      <c r="AU44" s="12"/>
      <c r="AV44" s="12"/>
      <c r="AW44" s="12"/>
      <c r="AX44" s="12"/>
    </row>
    <row r="45" spans="2:50" ht="16.5" x14ac:dyDescent="0.45">
      <c r="B45" s="70" t="s">
        <v>18</v>
      </c>
      <c r="C45" s="69">
        <f>+C39+C40+C44</f>
        <v>270934.37378041312</v>
      </c>
      <c r="D45" s="73">
        <f t="shared" ref="D45:E45" si="44">+D39+D40+D44</f>
        <v>24.376640029142763</v>
      </c>
      <c r="E45" s="73">
        <f t="shared" si="44"/>
        <v>9.0758881876442672</v>
      </c>
      <c r="F45" s="12"/>
      <c r="G45" s="69">
        <f>+G39+G40+G44</f>
        <v>331881.28516214615</v>
      </c>
      <c r="H45" s="73">
        <f t="shared" ref="H45" si="45">+H39+H40+H44</f>
        <v>32.404577630745067</v>
      </c>
      <c r="I45" s="73">
        <f t="shared" ref="I45" si="46">+I39+I40+I44</f>
        <v>12.096565705467503</v>
      </c>
      <c r="J45" s="12"/>
      <c r="K45" s="69">
        <f>+K39+K40+K44</f>
        <v>286422.56954292371</v>
      </c>
      <c r="L45" s="73">
        <f t="shared" ref="L45" si="47">+L39+L40+L44</f>
        <v>25.21502205407899</v>
      </c>
      <c r="M45" s="73">
        <f t="shared" ref="M45" si="48">+M39+M40+M44</f>
        <v>9.3682375517637446</v>
      </c>
      <c r="N45" s="12"/>
      <c r="O45" s="69">
        <f>+O39+O40+O44</f>
        <v>274158.19656777458</v>
      </c>
      <c r="P45" s="73">
        <f>+P39+P40+P44</f>
        <v>25.279369419480325</v>
      </c>
      <c r="Q45" s="73">
        <f>+Q39+Q40+Q44</f>
        <v>9.0167824774756156</v>
      </c>
      <c r="R45" s="34"/>
      <c r="S45" s="69">
        <f>+S39+S40+S44</f>
        <v>242454.28891837795</v>
      </c>
      <c r="T45" s="73">
        <f>+T39+T40+T44</f>
        <v>21.836433386002525</v>
      </c>
      <c r="U45" s="73">
        <f>+U39+U40+U44</f>
        <v>7.8721343804260995</v>
      </c>
      <c r="V45" s="34"/>
      <c r="W45" s="69">
        <f>+W39+W40+W44</f>
        <v>310014.16627945815</v>
      </c>
      <c r="X45" s="73">
        <f>+X39+X40+X44</f>
        <v>28.336881004729623</v>
      </c>
      <c r="Y45" s="73">
        <f>+Y39+Y40+Y44</f>
        <v>10.510029073078556</v>
      </c>
      <c r="Z45" s="34"/>
      <c r="AA45" s="69">
        <f>+AA39+AA40+AA44</f>
        <v>377882.93803718023</v>
      </c>
      <c r="AB45" s="73">
        <f>+AB39+AB40+AB44</f>
        <v>36.040720806749817</v>
      </c>
      <c r="AC45" s="73">
        <f>+AC39+AC40+AC44</f>
        <v>13.077161241931604</v>
      </c>
      <c r="AD45" s="34"/>
      <c r="AE45" s="69">
        <f>+AE39+AE40+AE44</f>
        <v>481029.30254748632</v>
      </c>
      <c r="AF45" s="73">
        <f>+AF39+AF40+AF44</f>
        <v>38.490280314547505</v>
      </c>
      <c r="AG45" s="73">
        <f>+AG39+AG40+AG44</f>
        <v>13.862891989769519</v>
      </c>
      <c r="AH45" s="34"/>
      <c r="AI45" s="69">
        <f>+AI39+AI40+AI44</f>
        <v>450966.75986345363</v>
      </c>
      <c r="AJ45" s="73">
        <f>+AJ39+AJ40+AJ44</f>
        <v>35.335031742412042</v>
      </c>
      <c r="AK45" s="73">
        <f>+AK39+AK40+AK44</f>
        <v>12.655397765032857</v>
      </c>
      <c r="AL45" s="34"/>
      <c r="AM45" s="69">
        <f>+AM39+AM40+AM44</f>
        <v>417797.3186742398</v>
      </c>
      <c r="AN45" s="73">
        <f>+AN39+AN40+AN44</f>
        <v>34.400165416475119</v>
      </c>
      <c r="AO45" s="73">
        <f>+AO39+AO40+AO44</f>
        <v>12.792834886597268</v>
      </c>
      <c r="AP45" s="34"/>
      <c r="AQ45" s="12"/>
      <c r="AR45" s="12"/>
      <c r="AS45" s="12"/>
      <c r="AT45" s="12"/>
      <c r="AU45" s="12"/>
      <c r="AV45" s="12"/>
      <c r="AW45" s="12"/>
      <c r="AX45" s="12"/>
    </row>
    <row r="46" spans="2:50" ht="16.5" x14ac:dyDescent="0.45">
      <c r="B46" s="46" t="s">
        <v>128</v>
      </c>
      <c r="C46" s="12"/>
      <c r="D46" s="12"/>
      <c r="E46" s="12"/>
      <c r="F46" s="12"/>
      <c r="G46" s="12"/>
      <c r="H46" s="12"/>
      <c r="I46" s="12"/>
      <c r="J46" s="12"/>
      <c r="K46" s="12"/>
      <c r="L46" s="12"/>
      <c r="M46" s="12"/>
      <c r="N46" s="12"/>
      <c r="O46" s="12"/>
      <c r="P46" s="12"/>
      <c r="Q46" s="12"/>
      <c r="R46" s="12"/>
      <c r="S46" s="12"/>
      <c r="T46" s="12"/>
      <c r="U46" s="47"/>
      <c r="V46" s="12"/>
      <c r="W46" s="12"/>
      <c r="X46" s="12"/>
      <c r="Y46" s="47"/>
      <c r="Z46" s="12"/>
      <c r="AA46" s="12"/>
      <c r="AB46" s="12"/>
      <c r="AC46" s="47"/>
      <c r="AD46" s="12"/>
      <c r="AE46" s="12"/>
      <c r="AF46" s="12"/>
      <c r="AG46" s="47"/>
      <c r="AH46" s="12"/>
      <c r="AI46" s="12"/>
      <c r="AJ46" s="12"/>
      <c r="AK46" s="47"/>
      <c r="AL46" s="12"/>
      <c r="AM46" s="12"/>
      <c r="AN46" s="12"/>
      <c r="AO46" s="47"/>
      <c r="AP46" s="12"/>
      <c r="AQ46" s="12"/>
      <c r="AR46" s="12"/>
      <c r="AS46" s="12"/>
      <c r="AT46" s="12"/>
      <c r="AU46" s="12"/>
      <c r="AV46" s="12"/>
      <c r="AW46" s="12"/>
      <c r="AX46" s="12"/>
    </row>
    <row r="47" spans="2:50" ht="16.5" x14ac:dyDescent="0.45">
      <c r="B47" s="46" t="s">
        <v>129</v>
      </c>
      <c r="C47" s="12"/>
      <c r="D47" s="12"/>
      <c r="E47" s="12"/>
      <c r="F47" s="12"/>
      <c r="G47" s="12"/>
      <c r="H47" s="12"/>
      <c r="I47" s="12"/>
      <c r="J47" s="12"/>
      <c r="K47" s="12"/>
      <c r="L47" s="12"/>
      <c r="M47" s="12"/>
      <c r="N47" s="12"/>
      <c r="O47" s="12"/>
      <c r="P47" s="12"/>
      <c r="Q47" s="12"/>
      <c r="R47" s="12"/>
      <c r="S47" s="12"/>
      <c r="T47" s="12"/>
      <c r="U47" s="12"/>
      <c r="V47" s="12"/>
      <c r="W47" s="116"/>
      <c r="X47" s="12"/>
      <c r="Y47" s="12"/>
      <c r="Z47" s="12"/>
      <c r="AA47" s="12"/>
      <c r="AB47" s="12"/>
      <c r="AC47" s="12"/>
      <c r="AD47" s="12"/>
      <c r="AE47" s="12"/>
      <c r="AF47" s="12"/>
      <c r="AG47" s="12"/>
      <c r="AH47" s="12"/>
      <c r="AI47" s="116"/>
      <c r="AJ47" s="12"/>
      <c r="AK47" s="12"/>
      <c r="AL47" s="12"/>
      <c r="AM47" s="116"/>
      <c r="AN47" s="12"/>
      <c r="AO47" s="12"/>
      <c r="AP47" s="12"/>
      <c r="AQ47" s="12"/>
      <c r="AR47" s="12"/>
      <c r="AS47" s="12"/>
      <c r="AT47" s="12"/>
      <c r="AU47" s="12"/>
      <c r="AV47" s="12"/>
      <c r="AW47" s="12"/>
      <c r="AX47" s="12"/>
    </row>
    <row r="48" spans="2:50" ht="16.5" x14ac:dyDescent="0.45">
      <c r="B48" s="46"/>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2"/>
      <c r="AF48" s="122"/>
      <c r="AG48" s="122"/>
      <c r="AH48" s="122"/>
      <c r="AI48" s="122"/>
      <c r="AJ48" s="122"/>
      <c r="AK48" s="122"/>
      <c r="AL48" s="12"/>
      <c r="AM48" s="122"/>
      <c r="AN48" s="122"/>
      <c r="AO48" s="122"/>
      <c r="AP48" s="12"/>
      <c r="AQ48" s="12"/>
      <c r="AR48" s="12"/>
      <c r="AS48" s="12"/>
      <c r="AT48" s="12"/>
      <c r="AU48" s="12"/>
      <c r="AV48" s="12"/>
      <c r="AW48" s="12"/>
      <c r="AX48" s="12"/>
    </row>
    <row r="49" spans="1:50" ht="16.5" x14ac:dyDescent="0.45">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2"/>
      <c r="AF49" s="122"/>
      <c r="AG49" s="122"/>
      <c r="AH49" s="122"/>
      <c r="AI49" s="122"/>
      <c r="AJ49" s="122"/>
      <c r="AK49" s="122"/>
      <c r="AL49" s="12"/>
      <c r="AM49" s="122"/>
      <c r="AN49" s="122"/>
      <c r="AO49" s="122"/>
      <c r="AP49" s="12"/>
      <c r="AQ49" s="12"/>
      <c r="AR49" s="12"/>
      <c r="AS49" s="12"/>
      <c r="AT49" s="12"/>
      <c r="AU49" s="12"/>
      <c r="AV49" s="12"/>
      <c r="AW49" s="12"/>
      <c r="AX49" s="12"/>
    </row>
    <row r="50" spans="1:50" ht="15" customHeight="1" x14ac:dyDescent="0.45">
      <c r="B50" s="12"/>
      <c r="C50" s="12"/>
      <c r="D50" s="12"/>
      <c r="E50" s="12"/>
      <c r="F50" s="12"/>
      <c r="G50" s="12"/>
      <c r="H50" s="12"/>
      <c r="I50" s="12"/>
      <c r="J50" s="12"/>
      <c r="K50" s="12"/>
      <c r="L50" s="12"/>
      <c r="M50" s="12"/>
      <c r="N50" s="12"/>
      <c r="O50" s="12"/>
      <c r="P50" s="12"/>
      <c r="Q50" s="12"/>
      <c r="R50" s="48"/>
      <c r="S50" s="12"/>
      <c r="T50" s="12"/>
      <c r="U50" s="12"/>
      <c r="V50" s="48"/>
      <c r="W50" s="12"/>
      <c r="X50" s="12"/>
      <c r="Y50" s="12"/>
      <c r="Z50" s="48"/>
      <c r="AA50" s="12"/>
      <c r="AB50" s="12"/>
      <c r="AC50" s="12"/>
      <c r="AD50" s="48"/>
      <c r="AE50" s="122"/>
      <c r="AF50" s="122"/>
      <c r="AG50" s="122"/>
      <c r="AH50" s="126"/>
      <c r="AI50" s="122"/>
      <c r="AJ50" s="122"/>
      <c r="AK50" s="122"/>
      <c r="AL50" s="48"/>
      <c r="AM50" s="122"/>
      <c r="AN50" s="122"/>
      <c r="AO50" s="122"/>
      <c r="AP50" s="48"/>
      <c r="AQ50" s="12"/>
      <c r="AR50" s="12"/>
      <c r="AS50" s="12"/>
      <c r="AT50" s="12"/>
      <c r="AU50" s="12"/>
      <c r="AV50" s="12"/>
      <c r="AW50" s="12"/>
      <c r="AX50" s="12"/>
    </row>
    <row r="51" spans="1:50" customFormat="1" ht="16.5" x14ac:dyDescent="0.45">
      <c r="A51" s="6" t="s">
        <v>2</v>
      </c>
      <c r="B51" s="71" t="s">
        <v>50</v>
      </c>
      <c r="C51" s="72"/>
      <c r="D51" s="72"/>
      <c r="E51" s="72">
        <v>2018</v>
      </c>
      <c r="F51" s="72"/>
      <c r="G51" s="72">
        <v>2019</v>
      </c>
      <c r="H51" s="72">
        <v>2020</v>
      </c>
      <c r="I51" s="72">
        <v>2021</v>
      </c>
      <c r="J51" s="72"/>
      <c r="K51" s="72">
        <v>2022</v>
      </c>
      <c r="L51" s="72">
        <v>2023</v>
      </c>
      <c r="M51" s="72">
        <v>2024</v>
      </c>
      <c r="N51" s="72"/>
      <c r="O51" s="72">
        <v>2025</v>
      </c>
      <c r="P51" s="12"/>
      <c r="Q51" s="12"/>
      <c r="R51" s="12"/>
      <c r="S51" s="12"/>
      <c r="T51" s="12"/>
      <c r="U51" s="12"/>
      <c r="V51" s="12"/>
      <c r="W51" s="12"/>
      <c r="X51" s="12"/>
      <c r="Y51" s="12"/>
      <c r="Z51" s="12"/>
      <c r="AA51" s="12"/>
      <c r="AB51" s="12"/>
      <c r="AC51" s="12"/>
      <c r="AD51" s="12"/>
      <c r="AE51" s="122"/>
      <c r="AF51" s="122"/>
      <c r="AG51" s="122"/>
      <c r="AH51" s="122"/>
      <c r="AI51" s="122"/>
      <c r="AJ51" s="122"/>
      <c r="AK51" s="122"/>
      <c r="AL51" s="12"/>
      <c r="AM51" s="122"/>
      <c r="AN51" s="122"/>
      <c r="AO51" s="122"/>
      <c r="AP51" s="12"/>
      <c r="AQ51" s="12"/>
      <c r="AR51" s="12"/>
      <c r="AS51" s="12"/>
      <c r="AT51" s="12"/>
      <c r="AU51" s="12"/>
      <c r="AV51" s="12"/>
      <c r="AW51" s="12"/>
      <c r="AX51" s="12"/>
    </row>
    <row r="52" spans="1:50" ht="16.5" x14ac:dyDescent="0.45">
      <c r="B52" s="12" t="s">
        <v>51</v>
      </c>
      <c r="C52" s="12"/>
      <c r="D52" s="16"/>
      <c r="E52" s="16">
        <v>57531</v>
      </c>
      <c r="F52" s="16"/>
      <c r="G52" s="35">
        <v>50176.268485083063</v>
      </c>
      <c r="H52" s="35">
        <v>38607.289621021315</v>
      </c>
      <c r="I52" s="35">
        <v>55728.210663624835</v>
      </c>
      <c r="J52" s="16"/>
      <c r="K52" s="35">
        <v>72915.740570454742</v>
      </c>
      <c r="L52" s="35">
        <v>101157</v>
      </c>
      <c r="M52" s="35">
        <v>75649</v>
      </c>
      <c r="N52" s="35"/>
      <c r="O52" s="35">
        <v>68509</v>
      </c>
      <c r="P52" s="12"/>
      <c r="Q52" s="12"/>
      <c r="R52" s="12"/>
      <c r="S52" s="12"/>
      <c r="T52" s="12"/>
      <c r="U52" s="12"/>
      <c r="V52" s="12"/>
      <c r="W52" s="12"/>
      <c r="X52" s="12"/>
      <c r="Y52" s="12"/>
      <c r="Z52" s="12"/>
      <c r="AA52" s="12"/>
      <c r="AB52" s="12"/>
      <c r="AC52" s="12"/>
      <c r="AD52" s="12"/>
      <c r="AE52" s="122"/>
      <c r="AF52" s="122"/>
      <c r="AG52" s="122"/>
      <c r="AH52" s="122"/>
      <c r="AI52" s="122"/>
      <c r="AJ52" s="122"/>
      <c r="AK52" s="122"/>
      <c r="AL52" s="12"/>
      <c r="AM52" s="122"/>
      <c r="AN52" s="122"/>
      <c r="AO52" s="122"/>
      <c r="AP52" s="12"/>
      <c r="AQ52" s="12"/>
      <c r="AR52" s="12"/>
      <c r="AS52" s="12"/>
      <c r="AT52" s="12"/>
      <c r="AU52" s="12"/>
      <c r="AV52" s="12"/>
      <c r="AW52" s="12"/>
      <c r="AX52" s="12"/>
    </row>
    <row r="53" spans="1:50" ht="16.5" x14ac:dyDescent="0.45">
      <c r="B53" s="12" t="s">
        <v>52</v>
      </c>
      <c r="C53" s="12"/>
      <c r="D53" s="16"/>
      <c r="E53" s="16">
        <v>19579.37</v>
      </c>
      <c r="F53" s="16"/>
      <c r="G53" s="35">
        <v>17242.41</v>
      </c>
      <c r="H53" s="35">
        <v>16880.330000000002</v>
      </c>
      <c r="I53" s="35">
        <v>20155.86</v>
      </c>
      <c r="J53" s="16"/>
      <c r="K53" s="35">
        <v>24224.26</v>
      </c>
      <c r="L53" s="35">
        <v>28082.760000000002</v>
      </c>
      <c r="M53" s="35">
        <v>21730.149999999994</v>
      </c>
      <c r="N53" s="35"/>
      <c r="O53" s="35">
        <v>20267.670000000002</v>
      </c>
      <c r="P53" s="12"/>
      <c r="Q53" s="12"/>
      <c r="R53" s="12"/>
      <c r="S53" s="12"/>
      <c r="T53" s="12"/>
      <c r="U53" s="12"/>
      <c r="V53" s="12"/>
      <c r="W53" s="12"/>
      <c r="X53" s="12"/>
      <c r="Y53" s="12"/>
      <c r="Z53" s="12"/>
      <c r="AA53" s="12"/>
      <c r="AB53" s="12"/>
      <c r="AC53" s="12"/>
      <c r="AD53" s="12"/>
      <c r="AE53" s="122"/>
      <c r="AF53" s="122"/>
      <c r="AG53" s="122"/>
      <c r="AH53" s="122"/>
      <c r="AI53" s="122"/>
      <c r="AJ53" s="122"/>
      <c r="AK53" s="122"/>
      <c r="AL53" s="12"/>
      <c r="AM53" s="122"/>
      <c r="AN53" s="122"/>
      <c r="AO53" s="122"/>
      <c r="AP53" s="12"/>
      <c r="AQ53" s="12"/>
      <c r="AR53" s="12"/>
      <c r="AS53" s="12"/>
      <c r="AT53" s="12"/>
      <c r="AU53" s="12"/>
      <c r="AV53" s="12"/>
      <c r="AW53" s="12"/>
      <c r="AX53" s="12"/>
    </row>
    <row r="54" spans="1:50" ht="16.5" x14ac:dyDescent="0.45">
      <c r="B54" s="49" t="s">
        <v>54</v>
      </c>
      <c r="C54" s="50"/>
      <c r="D54" s="51"/>
      <c r="E54" s="51">
        <v>0</v>
      </c>
      <c r="F54" s="51"/>
      <c r="G54" s="52">
        <v>0</v>
      </c>
      <c r="H54" s="52">
        <v>0</v>
      </c>
      <c r="I54" s="52">
        <v>0</v>
      </c>
      <c r="J54" s="51"/>
      <c r="K54" s="52">
        <v>0</v>
      </c>
      <c r="L54" s="52">
        <v>0</v>
      </c>
      <c r="M54" s="52">
        <v>0</v>
      </c>
      <c r="N54" s="52"/>
      <c r="O54" s="52">
        <v>0</v>
      </c>
      <c r="P54" s="12"/>
      <c r="Q54" s="12"/>
      <c r="R54" s="12"/>
      <c r="S54" s="12"/>
      <c r="T54" s="12"/>
      <c r="U54" s="12"/>
      <c r="V54" s="12"/>
      <c r="W54" s="12"/>
      <c r="X54" s="12"/>
      <c r="Y54" s="12"/>
      <c r="Z54" s="12"/>
      <c r="AA54" s="12"/>
      <c r="AB54" s="12"/>
      <c r="AC54" s="12"/>
      <c r="AD54" s="12"/>
      <c r="AE54" s="122"/>
      <c r="AF54" s="122"/>
      <c r="AG54" s="122"/>
      <c r="AH54" s="122"/>
      <c r="AI54" s="122"/>
      <c r="AJ54" s="122"/>
      <c r="AK54" s="122"/>
      <c r="AL54" s="12"/>
      <c r="AM54" s="122"/>
      <c r="AN54" s="122"/>
      <c r="AO54" s="122"/>
      <c r="AP54" s="12"/>
      <c r="AQ54" s="12"/>
      <c r="AR54" s="12"/>
      <c r="AS54" s="12"/>
      <c r="AT54" s="12"/>
      <c r="AU54" s="12"/>
      <c r="AV54" s="12"/>
      <c r="AW54" s="12"/>
      <c r="AX54" s="12"/>
    </row>
    <row r="55" spans="1:50" ht="16.5" x14ac:dyDescent="0.45">
      <c r="B55" s="24" t="s">
        <v>55</v>
      </c>
      <c r="C55" s="12"/>
      <c r="D55" s="53"/>
      <c r="E55" s="53">
        <v>0</v>
      </c>
      <c r="F55" s="53"/>
      <c r="G55" s="53">
        <v>0</v>
      </c>
      <c r="H55" s="53">
        <v>0</v>
      </c>
      <c r="I55" s="53">
        <v>0</v>
      </c>
      <c r="J55" s="53"/>
      <c r="K55" s="53">
        <v>0</v>
      </c>
      <c r="L55" s="53">
        <v>0</v>
      </c>
      <c r="M55" s="53">
        <v>0</v>
      </c>
      <c r="N55" s="53"/>
      <c r="O55" s="53">
        <v>0</v>
      </c>
      <c r="P55" s="12"/>
      <c r="Q55" s="12"/>
      <c r="R55" s="12"/>
      <c r="S55" s="12"/>
      <c r="T55" s="12"/>
      <c r="U55" s="12"/>
      <c r="V55" s="12"/>
      <c r="W55" s="12"/>
      <c r="X55" s="12"/>
      <c r="Y55" s="12"/>
      <c r="Z55" s="12"/>
      <c r="AA55" s="12"/>
      <c r="AB55" s="12"/>
      <c r="AC55" s="12"/>
      <c r="AD55" s="12"/>
      <c r="AE55" s="122"/>
      <c r="AF55" s="122"/>
      <c r="AG55" s="122"/>
      <c r="AH55" s="122"/>
      <c r="AI55" s="122"/>
      <c r="AJ55" s="122"/>
      <c r="AK55" s="122"/>
      <c r="AL55" s="12"/>
      <c r="AM55" s="122"/>
      <c r="AN55" s="122"/>
      <c r="AO55" s="122"/>
      <c r="AP55" s="12"/>
      <c r="AQ55" s="12"/>
      <c r="AR55" s="12"/>
      <c r="AS55" s="12"/>
      <c r="AT55" s="12"/>
      <c r="AU55" s="12"/>
      <c r="AV55" s="12"/>
      <c r="AW55" s="12"/>
      <c r="AX55" s="12"/>
    </row>
    <row r="56" spans="1:50" ht="16.5" x14ac:dyDescent="0.45">
      <c r="B56" s="54" t="s">
        <v>56</v>
      </c>
      <c r="C56" s="55"/>
      <c r="D56" s="56"/>
      <c r="E56" s="56">
        <v>0</v>
      </c>
      <c r="F56" s="56"/>
      <c r="G56" s="56">
        <v>0</v>
      </c>
      <c r="H56" s="56">
        <v>0</v>
      </c>
      <c r="I56" s="56">
        <v>0</v>
      </c>
      <c r="J56" s="56"/>
      <c r="K56" s="56">
        <v>0</v>
      </c>
      <c r="L56" s="56">
        <v>0</v>
      </c>
      <c r="M56" s="56">
        <v>0</v>
      </c>
      <c r="N56" s="56"/>
      <c r="O56" s="56">
        <v>0</v>
      </c>
      <c r="P56" s="12"/>
      <c r="Q56" s="12"/>
      <c r="R56" s="12"/>
      <c r="S56" s="12"/>
      <c r="T56" s="12"/>
      <c r="U56" s="12"/>
      <c r="V56" s="12"/>
      <c r="W56" s="12"/>
      <c r="X56" s="12"/>
      <c r="Y56" s="12"/>
      <c r="Z56" s="12"/>
      <c r="AA56" s="12"/>
      <c r="AB56" s="12"/>
      <c r="AC56" s="12"/>
      <c r="AD56" s="12"/>
      <c r="AE56" s="122"/>
      <c r="AF56" s="122"/>
      <c r="AG56" s="122"/>
      <c r="AH56" s="122"/>
      <c r="AI56" s="122"/>
      <c r="AJ56" s="122"/>
      <c r="AK56" s="122"/>
      <c r="AL56" s="12"/>
      <c r="AM56" s="122"/>
      <c r="AN56" s="122"/>
      <c r="AO56" s="122"/>
      <c r="AP56" s="12"/>
      <c r="AQ56" s="12"/>
      <c r="AR56" s="12"/>
      <c r="AS56" s="12"/>
      <c r="AT56" s="12"/>
      <c r="AU56" s="12"/>
      <c r="AV56" s="12"/>
      <c r="AW56" s="12"/>
      <c r="AX56" s="12"/>
    </row>
    <row r="57" spans="1:50" ht="16.5" x14ac:dyDescent="0.45">
      <c r="B57" s="12" t="s">
        <v>53</v>
      </c>
      <c r="C57" s="12"/>
      <c r="D57" s="16"/>
      <c r="E57" s="16">
        <v>2938.3478630824179</v>
      </c>
      <c r="F57" s="16"/>
      <c r="G57" s="16">
        <v>2910.04960936917</v>
      </c>
      <c r="H57" s="16">
        <v>2287.1169948111983</v>
      </c>
      <c r="I57" s="16">
        <v>2764.8639484311179</v>
      </c>
      <c r="J57" s="16"/>
      <c r="K57" s="16">
        <v>3010.0296384886369</v>
      </c>
      <c r="L57" s="16">
        <v>3602.1032120774453</v>
      </c>
      <c r="M57" s="16">
        <v>3481.2921217755065</v>
      </c>
      <c r="N57" s="16"/>
      <c r="O57" s="16">
        <v>3380.2109467935875</v>
      </c>
      <c r="P57" s="12"/>
      <c r="Q57" s="12"/>
      <c r="R57" s="12"/>
      <c r="S57" s="12"/>
      <c r="T57" s="12"/>
      <c r="U57" s="12"/>
      <c r="V57" s="12"/>
      <c r="W57" s="12"/>
      <c r="X57" s="12"/>
      <c r="Y57" s="12"/>
      <c r="Z57" s="12"/>
      <c r="AA57" s="12"/>
      <c r="AB57" s="12"/>
      <c r="AC57" s="12"/>
      <c r="AD57" s="12"/>
      <c r="AE57" s="122"/>
      <c r="AF57" s="122"/>
      <c r="AG57" s="122"/>
      <c r="AH57" s="122"/>
      <c r="AI57" s="122"/>
      <c r="AJ57" s="122"/>
      <c r="AK57" s="122"/>
      <c r="AL57" s="12"/>
      <c r="AM57" s="122"/>
      <c r="AN57" s="122"/>
      <c r="AO57" s="122"/>
      <c r="AP57" s="12"/>
      <c r="AQ57" s="12"/>
      <c r="AR57" s="12"/>
      <c r="AS57" s="12"/>
      <c r="AT57" s="12"/>
      <c r="AU57" s="12"/>
      <c r="AV57" s="12"/>
      <c r="AW57" s="12"/>
      <c r="AX57" s="12"/>
    </row>
    <row r="58" spans="1:50" ht="16.5" x14ac:dyDescent="0.45">
      <c r="B58" s="12" t="s">
        <v>115</v>
      </c>
      <c r="C58" s="16"/>
      <c r="D58" s="16"/>
      <c r="E58" s="16">
        <v>35258</v>
      </c>
      <c r="F58" s="16"/>
      <c r="G58" s="16">
        <v>45180</v>
      </c>
      <c r="H58" s="16">
        <v>46452.176486592187</v>
      </c>
      <c r="I58" s="16">
        <v>42552.591605260546</v>
      </c>
      <c r="J58" s="16"/>
      <c r="K58" s="16">
        <v>49519.029029220139</v>
      </c>
      <c r="L58" s="16">
        <v>47546.300625359785</v>
      </c>
      <c r="M58" s="16">
        <v>44844.403715239983</v>
      </c>
      <c r="N58" s="16"/>
      <c r="O58" s="16">
        <v>34451.067550644089</v>
      </c>
      <c r="P58" s="12"/>
      <c r="Q58" s="12"/>
      <c r="R58" s="12"/>
      <c r="S58" s="12"/>
      <c r="T58" s="12"/>
      <c r="U58" s="12"/>
      <c r="V58" s="12"/>
      <c r="W58" s="12"/>
      <c r="X58" s="12"/>
      <c r="Y58" s="12"/>
      <c r="Z58" s="12"/>
      <c r="AA58" s="12"/>
      <c r="AB58" s="12"/>
      <c r="AC58" s="12"/>
      <c r="AD58" s="12"/>
      <c r="AE58" s="122"/>
      <c r="AF58" s="122"/>
      <c r="AG58" s="122"/>
      <c r="AH58" s="122"/>
      <c r="AI58" s="122"/>
      <c r="AJ58" s="122"/>
      <c r="AK58" s="122"/>
      <c r="AL58" s="12"/>
      <c r="AM58" s="122"/>
      <c r="AN58" s="122"/>
      <c r="AO58" s="122"/>
      <c r="AP58" s="12"/>
      <c r="AQ58" s="12"/>
      <c r="AR58" s="12"/>
      <c r="AS58" s="12"/>
      <c r="AT58" s="12"/>
      <c r="AU58" s="12"/>
      <c r="AV58" s="12"/>
      <c r="AW58" s="12"/>
      <c r="AX58" s="12"/>
    </row>
    <row r="59" spans="1:50" ht="16.5" x14ac:dyDescent="0.45">
      <c r="B59" s="12" t="s">
        <v>116</v>
      </c>
      <c r="C59" s="16"/>
      <c r="D59" s="16"/>
      <c r="E59" s="16">
        <v>24480</v>
      </c>
      <c r="F59" s="16"/>
      <c r="G59" s="16">
        <v>24546.128983789677</v>
      </c>
      <c r="H59" s="16">
        <v>20360.167502357523</v>
      </c>
      <c r="I59" s="16">
        <v>29627.747986706148</v>
      </c>
      <c r="J59" s="16"/>
      <c r="K59" s="16">
        <v>18230.265055532971</v>
      </c>
      <c r="L59" s="16">
        <v>26837.603548732382</v>
      </c>
      <c r="M59" s="16">
        <v>37079.903438751157</v>
      </c>
      <c r="N59" s="16"/>
      <c r="O59" s="16">
        <v>30231.016311757085</v>
      </c>
      <c r="P59" s="12"/>
      <c r="Q59" s="12"/>
      <c r="R59" s="12"/>
      <c r="S59" s="12"/>
      <c r="T59" s="12"/>
      <c r="U59" s="12"/>
      <c r="V59" s="12"/>
      <c r="W59" s="12"/>
      <c r="X59" s="12"/>
      <c r="Y59" s="12"/>
      <c r="Z59" s="12"/>
      <c r="AA59" s="12"/>
      <c r="AB59" s="12"/>
      <c r="AC59" s="12"/>
      <c r="AD59" s="12"/>
      <c r="AE59" s="122"/>
      <c r="AF59" s="122"/>
      <c r="AG59" s="122"/>
      <c r="AH59" s="122"/>
      <c r="AI59" s="122"/>
      <c r="AJ59" s="122"/>
      <c r="AK59" s="122"/>
      <c r="AL59" s="12"/>
      <c r="AM59" s="122"/>
      <c r="AN59" s="122"/>
      <c r="AO59" s="122"/>
      <c r="AP59" s="12"/>
      <c r="AQ59" s="12"/>
      <c r="AR59" s="12"/>
      <c r="AS59" s="12"/>
      <c r="AT59" s="12"/>
      <c r="AU59" s="12"/>
      <c r="AV59" s="12"/>
      <c r="AW59" s="12"/>
      <c r="AX59" s="12"/>
    </row>
    <row r="60" spans="1:50" ht="16.5" x14ac:dyDescent="0.45">
      <c r="B60" s="70" t="s">
        <v>57</v>
      </c>
      <c r="C60" s="69"/>
      <c r="D60" s="69"/>
      <c r="E60" s="69">
        <v>117269</v>
      </c>
      <c r="F60" s="69"/>
      <c r="G60" s="69">
        <v>119902.39746887275</v>
      </c>
      <c r="H60" s="69">
        <v>105419.63360997103</v>
      </c>
      <c r="I60" s="69">
        <v>127908.55025559153</v>
      </c>
      <c r="J60" s="69"/>
      <c r="K60" s="69">
        <v>140665.03465520786</v>
      </c>
      <c r="L60" s="69">
        <v>175540.90417409217</v>
      </c>
      <c r="M60" s="69">
        <v>157573.30715399113</v>
      </c>
      <c r="N60" s="69"/>
      <c r="O60" s="69">
        <v>133191.0838624012</v>
      </c>
      <c r="P60" s="12"/>
      <c r="Q60" s="12"/>
      <c r="R60" s="12"/>
      <c r="S60" s="12"/>
      <c r="T60" s="12"/>
      <c r="U60" s="12"/>
      <c r="V60" s="12"/>
      <c r="W60" s="12"/>
      <c r="X60" s="12"/>
      <c r="Y60" s="12"/>
      <c r="Z60" s="12"/>
      <c r="AA60" s="12"/>
      <c r="AB60" s="12"/>
      <c r="AC60" s="12"/>
      <c r="AD60" s="12"/>
      <c r="AE60" s="122"/>
      <c r="AF60" s="122"/>
      <c r="AG60" s="122"/>
      <c r="AH60" s="122"/>
      <c r="AI60" s="122"/>
      <c r="AJ60" s="122"/>
      <c r="AK60" s="122"/>
      <c r="AL60" s="12"/>
      <c r="AM60" s="122"/>
      <c r="AN60" s="122"/>
      <c r="AO60" s="122"/>
      <c r="AP60" s="12"/>
      <c r="AQ60" s="12"/>
      <c r="AR60" s="12"/>
      <c r="AS60" s="12"/>
      <c r="AT60" s="12"/>
      <c r="AU60" s="12"/>
      <c r="AV60" s="12"/>
      <c r="AW60" s="12"/>
      <c r="AX60" s="12"/>
    </row>
    <row r="61" spans="1:50" ht="16.5" x14ac:dyDescent="0.45">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2"/>
      <c r="AF61" s="122"/>
      <c r="AG61" s="122"/>
      <c r="AH61" s="122"/>
      <c r="AI61" s="122"/>
      <c r="AJ61" s="122"/>
      <c r="AK61" s="122"/>
      <c r="AL61" s="12"/>
      <c r="AM61" s="122"/>
      <c r="AN61" s="122"/>
      <c r="AO61" s="122"/>
      <c r="AP61" s="12"/>
      <c r="AQ61" s="12"/>
      <c r="AR61" s="12"/>
      <c r="AS61" s="12"/>
      <c r="AT61" s="12"/>
      <c r="AU61" s="12"/>
      <c r="AV61" s="12"/>
      <c r="AW61" s="12"/>
      <c r="AX61" s="12"/>
    </row>
    <row r="62" spans="1:50" customFormat="1" ht="16.5" x14ac:dyDescent="0.45">
      <c r="A62" s="6" t="s">
        <v>2</v>
      </c>
      <c r="B62" s="71" t="s">
        <v>101</v>
      </c>
      <c r="C62" s="72">
        <v>2016</v>
      </c>
      <c r="D62" s="72">
        <v>2017</v>
      </c>
      <c r="E62" s="72">
        <v>2018</v>
      </c>
      <c r="F62" s="72"/>
      <c r="G62" s="72">
        <v>2019</v>
      </c>
      <c r="H62" s="72">
        <v>2020</v>
      </c>
      <c r="I62" s="72">
        <v>2021</v>
      </c>
      <c r="J62" s="72"/>
      <c r="K62" s="72">
        <v>2022</v>
      </c>
      <c r="L62" s="72">
        <v>2023</v>
      </c>
      <c r="M62" s="72">
        <v>2024</v>
      </c>
      <c r="N62" s="72"/>
      <c r="O62" s="72">
        <v>2025</v>
      </c>
      <c r="P62" s="12"/>
      <c r="Q62" s="12"/>
      <c r="R62" s="12"/>
      <c r="S62" s="12"/>
      <c r="T62" s="12"/>
      <c r="U62" s="12"/>
      <c r="V62" s="12"/>
      <c r="W62" s="12"/>
      <c r="X62" s="12"/>
      <c r="Y62" s="12"/>
      <c r="Z62" s="12"/>
      <c r="AA62" s="12"/>
      <c r="AB62" s="12"/>
      <c r="AC62" s="12"/>
      <c r="AD62" s="12"/>
      <c r="AE62" s="122"/>
      <c r="AF62" s="122"/>
      <c r="AG62" s="122"/>
      <c r="AH62" s="122"/>
      <c r="AI62" s="122"/>
      <c r="AJ62" s="122"/>
      <c r="AK62" s="122"/>
      <c r="AL62" s="12"/>
      <c r="AM62" s="122"/>
      <c r="AN62" s="122"/>
      <c r="AO62" s="122"/>
      <c r="AP62" s="12"/>
      <c r="AQ62" s="12"/>
      <c r="AR62" s="12"/>
      <c r="AS62" s="12"/>
      <c r="AT62" s="12"/>
      <c r="AU62" s="12"/>
      <c r="AV62" s="12"/>
      <c r="AW62" s="12"/>
      <c r="AX62" s="12"/>
    </row>
    <row r="63" spans="1:50" ht="16.5" x14ac:dyDescent="0.45">
      <c r="B63" s="12" t="s">
        <v>102</v>
      </c>
      <c r="C63" s="37">
        <v>-22213</v>
      </c>
      <c r="D63" s="37">
        <v>-22341</v>
      </c>
      <c r="E63" s="37">
        <v>-11194</v>
      </c>
      <c r="F63" s="37"/>
      <c r="G63" s="37">
        <v>-5914.0379999999996</v>
      </c>
      <c r="H63" s="37">
        <v>-16657.310322386595</v>
      </c>
      <c r="I63" s="37">
        <v>-16589.542725788589</v>
      </c>
      <c r="J63" s="37"/>
      <c r="K63" s="37">
        <v>-18079</v>
      </c>
      <c r="L63" s="37">
        <v>-35815</v>
      </c>
      <c r="M63" s="37">
        <v>-30218</v>
      </c>
      <c r="N63" s="37"/>
      <c r="O63" s="37">
        <v>-25350</v>
      </c>
      <c r="P63" s="12"/>
      <c r="Q63" s="12"/>
      <c r="R63" s="12"/>
      <c r="S63" s="12"/>
      <c r="T63" s="12"/>
      <c r="U63" s="12"/>
      <c r="V63" s="12"/>
      <c r="W63" s="12"/>
      <c r="X63" s="12"/>
      <c r="Y63" s="12"/>
      <c r="Z63" s="12"/>
      <c r="AA63" s="12"/>
      <c r="AB63" s="12"/>
      <c r="AC63" s="12"/>
      <c r="AD63" s="12"/>
      <c r="AE63" s="122"/>
      <c r="AF63" s="122"/>
      <c r="AG63" s="122"/>
      <c r="AH63" s="122"/>
      <c r="AI63" s="122"/>
      <c r="AJ63" s="122"/>
      <c r="AK63" s="122"/>
      <c r="AL63" s="12"/>
      <c r="AM63" s="122"/>
      <c r="AN63" s="122"/>
      <c r="AO63" s="122"/>
      <c r="AP63" s="12"/>
      <c r="AQ63" s="12"/>
      <c r="AR63" s="12"/>
      <c r="AS63" s="12"/>
      <c r="AT63" s="12"/>
      <c r="AU63" s="12"/>
      <c r="AV63" s="12"/>
      <c r="AW63" s="12"/>
      <c r="AX63" s="12"/>
    </row>
    <row r="64" spans="1:50" ht="16.5" x14ac:dyDescent="0.45">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2"/>
      <c r="AF64" s="122"/>
      <c r="AG64" s="122"/>
      <c r="AH64" s="122"/>
      <c r="AI64" s="122"/>
      <c r="AJ64" s="122"/>
      <c r="AK64" s="122"/>
      <c r="AL64" s="12"/>
      <c r="AM64" s="122"/>
      <c r="AN64" s="122"/>
      <c r="AO64" s="122"/>
      <c r="AP64" s="12"/>
      <c r="AQ64" s="12"/>
      <c r="AR64" s="12"/>
      <c r="AS64" s="12"/>
      <c r="AT64" s="12"/>
      <c r="AU64" s="12"/>
      <c r="AV64" s="12"/>
      <c r="AW64" s="12"/>
      <c r="AX64" s="12"/>
    </row>
    <row r="65" spans="1:50" customFormat="1" ht="16.5" x14ac:dyDescent="0.45">
      <c r="A65" s="6" t="s">
        <v>2</v>
      </c>
      <c r="B65" s="71" t="s">
        <v>104</v>
      </c>
      <c r="C65" s="72">
        <v>2016</v>
      </c>
      <c r="D65" s="72">
        <v>2017</v>
      </c>
      <c r="E65" s="72">
        <v>2018</v>
      </c>
      <c r="F65" s="72"/>
      <c r="G65" s="72">
        <v>2019</v>
      </c>
      <c r="H65" s="72">
        <v>2020</v>
      </c>
      <c r="I65" s="72">
        <v>2021</v>
      </c>
      <c r="J65" s="72"/>
      <c r="K65" s="72">
        <v>2022</v>
      </c>
      <c r="L65" s="72">
        <v>2023</v>
      </c>
      <c r="M65" s="72">
        <v>2024</v>
      </c>
      <c r="N65" s="72"/>
      <c r="O65" s="72">
        <v>2025</v>
      </c>
      <c r="P65" s="12"/>
      <c r="Q65" s="12"/>
      <c r="R65" s="12"/>
      <c r="S65" s="12"/>
      <c r="T65" s="12"/>
      <c r="U65" s="12"/>
      <c r="V65" s="12"/>
      <c r="W65" s="12"/>
      <c r="X65" s="12"/>
      <c r="Y65" s="12"/>
      <c r="Z65" s="12"/>
      <c r="AA65" s="12"/>
      <c r="AB65" s="12"/>
      <c r="AC65" s="12"/>
      <c r="AD65" s="12"/>
      <c r="AE65" s="122"/>
      <c r="AF65" s="122"/>
      <c r="AG65" s="122"/>
      <c r="AH65" s="122"/>
      <c r="AI65" s="122"/>
      <c r="AJ65" s="122"/>
      <c r="AK65" s="122"/>
      <c r="AL65" s="12"/>
      <c r="AM65" s="122"/>
      <c r="AN65" s="122"/>
      <c r="AO65" s="122"/>
      <c r="AP65" s="12"/>
      <c r="AQ65" s="12"/>
      <c r="AR65" s="12"/>
      <c r="AS65" s="12"/>
      <c r="AT65" s="12"/>
      <c r="AU65" s="12"/>
      <c r="AV65" s="12"/>
      <c r="AW65" s="12"/>
      <c r="AX65" s="12"/>
    </row>
    <row r="66" spans="1:50" ht="16.5" x14ac:dyDescent="0.45">
      <c r="B66" s="12" t="s">
        <v>35</v>
      </c>
      <c r="C66" s="37">
        <v>-85166</v>
      </c>
      <c r="D66" s="37">
        <v>-100470</v>
      </c>
      <c r="E66" s="37">
        <v>-94744</v>
      </c>
      <c r="F66" s="37"/>
      <c r="G66" s="37">
        <v>-89041</v>
      </c>
      <c r="H66" s="37">
        <v>-64549.566364068</v>
      </c>
      <c r="I66" s="37">
        <v>-71722.557445085447</v>
      </c>
      <c r="J66" s="37"/>
      <c r="K66" s="37">
        <v>-71448</v>
      </c>
      <c r="L66" s="37">
        <v>-93392</v>
      </c>
      <c r="M66" s="37">
        <v>-97677</v>
      </c>
      <c r="N66" s="37"/>
      <c r="O66" s="37">
        <v>-99489</v>
      </c>
      <c r="P66" s="12"/>
      <c r="Q66" s="12"/>
      <c r="R66" s="12"/>
      <c r="S66" s="12"/>
      <c r="T66" s="12"/>
      <c r="U66" s="12"/>
      <c r="V66" s="12"/>
      <c r="W66" s="12"/>
      <c r="X66" s="12"/>
      <c r="Y66" s="12"/>
      <c r="Z66" s="12"/>
      <c r="AA66" s="12"/>
      <c r="AB66" s="12"/>
      <c r="AC66" s="12"/>
      <c r="AD66" s="12"/>
      <c r="AE66" s="122"/>
      <c r="AF66" s="122"/>
      <c r="AG66" s="122"/>
      <c r="AH66" s="122"/>
      <c r="AI66" s="122"/>
      <c r="AJ66" s="122"/>
      <c r="AK66" s="122"/>
      <c r="AL66" s="12"/>
      <c r="AM66" s="122"/>
      <c r="AN66" s="122"/>
      <c r="AO66" s="122"/>
      <c r="AP66" s="12"/>
      <c r="AQ66" s="12"/>
      <c r="AR66" s="12"/>
      <c r="AS66" s="12"/>
      <c r="AT66" s="12"/>
      <c r="AU66" s="12"/>
      <c r="AV66" s="12"/>
      <c r="AW66" s="12"/>
      <c r="AX66" s="12"/>
    </row>
    <row r="67" spans="1:50" ht="16.5" x14ac:dyDescent="0.45">
      <c r="B67" s="12" t="s">
        <v>103</v>
      </c>
      <c r="C67" s="37">
        <v>27932.710323301493</v>
      </c>
      <c r="D67" s="37">
        <v>34387.028211099911</v>
      </c>
      <c r="E67" s="37">
        <v>40413.485585161485</v>
      </c>
      <c r="F67" s="37"/>
      <c r="G67" s="37">
        <v>43808.939890933281</v>
      </c>
      <c r="H67" s="37">
        <v>23587</v>
      </c>
      <c r="I67" s="37">
        <v>26537</v>
      </c>
      <c r="J67" s="37"/>
      <c r="K67" s="37">
        <v>21137</v>
      </c>
      <c r="L67" s="37">
        <v>19671</v>
      </c>
      <c r="M67" s="37">
        <v>28184</v>
      </c>
      <c r="N67" s="37"/>
      <c r="O67" s="37">
        <v>33264</v>
      </c>
      <c r="P67" s="12"/>
      <c r="Q67" s="12"/>
      <c r="R67" s="12"/>
      <c r="S67" s="12"/>
      <c r="T67" s="12"/>
      <c r="U67" s="12"/>
      <c r="V67" s="12"/>
      <c r="W67" s="12"/>
      <c r="X67" s="12"/>
      <c r="Y67" s="12"/>
      <c r="Z67" s="12"/>
      <c r="AA67" s="12"/>
      <c r="AB67" s="12"/>
      <c r="AC67" s="12"/>
      <c r="AD67" s="12"/>
      <c r="AE67" s="122"/>
      <c r="AF67" s="122"/>
      <c r="AG67" s="122"/>
      <c r="AH67" s="122"/>
      <c r="AI67" s="122"/>
      <c r="AJ67" s="122"/>
      <c r="AK67" s="122"/>
      <c r="AL67" s="12"/>
      <c r="AM67" s="122"/>
      <c r="AN67" s="122"/>
      <c r="AO67" s="122"/>
      <c r="AP67" s="12"/>
      <c r="AQ67" s="12"/>
      <c r="AR67" s="12"/>
      <c r="AS67" s="12"/>
      <c r="AT67" s="12"/>
      <c r="AU67" s="12"/>
      <c r="AV67" s="12"/>
      <c r="AW67" s="12"/>
      <c r="AX67" s="12"/>
    </row>
    <row r="68" spans="1:50" ht="16.5" x14ac:dyDescent="0.45">
      <c r="B68" s="70" t="s">
        <v>104</v>
      </c>
      <c r="C68" s="69">
        <v>-57233.289676698507</v>
      </c>
      <c r="D68" s="69">
        <v>-66082.971788900089</v>
      </c>
      <c r="E68" s="69">
        <v>-54330.514414838515</v>
      </c>
      <c r="F68" s="69"/>
      <c r="G68" s="69">
        <v>-45232.060109066719</v>
      </c>
      <c r="H68" s="69">
        <v>-40962.566364068</v>
      </c>
      <c r="I68" s="69">
        <v>-45185.557445085447</v>
      </c>
      <c r="J68" s="69"/>
      <c r="K68" s="69">
        <v>-50311</v>
      </c>
      <c r="L68" s="69">
        <v>-73721</v>
      </c>
      <c r="M68" s="69">
        <v>-69493</v>
      </c>
      <c r="N68" s="69"/>
      <c r="O68" s="69">
        <v>-66225</v>
      </c>
      <c r="P68" s="12"/>
      <c r="Q68" s="12"/>
      <c r="R68" s="12"/>
      <c r="S68" s="12"/>
      <c r="T68" s="12"/>
      <c r="U68" s="12"/>
      <c r="V68" s="12"/>
      <c r="W68" s="12"/>
      <c r="X68" s="12"/>
      <c r="Y68" s="12"/>
      <c r="Z68" s="12"/>
      <c r="AA68" s="12"/>
      <c r="AB68" s="12"/>
      <c r="AC68" s="12"/>
      <c r="AD68" s="12"/>
      <c r="AE68" s="122"/>
      <c r="AF68" s="122"/>
      <c r="AG68" s="122"/>
      <c r="AH68" s="122"/>
      <c r="AI68" s="122"/>
      <c r="AJ68" s="122"/>
      <c r="AK68" s="122"/>
      <c r="AL68" s="12"/>
      <c r="AM68" s="122"/>
      <c r="AN68" s="122"/>
      <c r="AO68" s="122"/>
      <c r="AP68" s="12"/>
      <c r="AQ68" s="12"/>
      <c r="AR68" s="12"/>
      <c r="AS68" s="12"/>
      <c r="AT68" s="12"/>
      <c r="AU68" s="12"/>
      <c r="AV68" s="12"/>
      <c r="AW68" s="12"/>
      <c r="AX68" s="12"/>
    </row>
    <row r="69" spans="1:50" ht="16.5" x14ac:dyDescent="0.45">
      <c r="B69" s="12"/>
      <c r="C69" s="12"/>
      <c r="D69" s="12"/>
      <c r="E69" s="12"/>
      <c r="F69" s="12"/>
      <c r="G69" s="12"/>
      <c r="H69" s="12"/>
      <c r="I69" s="12"/>
      <c r="J69" s="12"/>
      <c r="K69" s="12"/>
      <c r="L69" s="12"/>
      <c r="M69" s="12"/>
      <c r="N69" s="12" t="s">
        <v>125</v>
      </c>
      <c r="O69" s="12"/>
      <c r="P69" s="12"/>
      <c r="Q69" s="12"/>
      <c r="R69" s="12"/>
      <c r="S69" s="12"/>
      <c r="T69" s="12"/>
      <c r="U69" s="12"/>
      <c r="V69" s="12"/>
      <c r="W69" s="12"/>
      <c r="X69" s="12"/>
      <c r="Y69" s="12"/>
      <c r="Z69" s="12"/>
      <c r="AA69" s="12"/>
      <c r="AB69" s="12"/>
      <c r="AC69" s="12"/>
      <c r="AD69" s="12"/>
      <c r="AE69" s="122"/>
      <c r="AF69" s="122"/>
      <c r="AG69" s="122"/>
      <c r="AH69" s="122"/>
      <c r="AI69" s="122"/>
      <c r="AJ69" s="122"/>
      <c r="AK69" s="122"/>
      <c r="AL69" s="12"/>
      <c r="AM69" s="122"/>
      <c r="AN69" s="122"/>
      <c r="AO69" s="122"/>
      <c r="AP69" s="12"/>
      <c r="AQ69" s="12"/>
      <c r="AR69" s="12"/>
      <c r="AS69" s="12"/>
      <c r="AT69" s="12"/>
      <c r="AU69" s="12"/>
      <c r="AV69" s="12"/>
      <c r="AW69" s="12"/>
      <c r="AX69" s="12"/>
    </row>
    <row r="70" spans="1:50" ht="16.5" x14ac:dyDescent="0.45">
      <c r="B70" s="12"/>
      <c r="C70" s="12"/>
      <c r="D70" s="12"/>
      <c r="E70" s="12"/>
      <c r="F70" s="12"/>
      <c r="G70" s="12"/>
      <c r="H70" s="12"/>
      <c r="I70" s="12"/>
      <c r="J70" s="12"/>
      <c r="K70" s="12"/>
      <c r="L70" s="116"/>
      <c r="M70" s="116"/>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row>
    <row r="71" spans="1:50" ht="16.5" x14ac:dyDescent="0.45">
      <c r="B71" s="12"/>
      <c r="C71" s="12"/>
      <c r="D71" s="12"/>
      <c r="E71" s="12"/>
      <c r="F71" s="12"/>
      <c r="G71" s="12"/>
      <c r="H71" s="12"/>
      <c r="I71" s="12"/>
      <c r="J71" s="12"/>
      <c r="K71" s="12"/>
      <c r="L71" s="116"/>
      <c r="M71" s="116"/>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c r="AX71" s="12"/>
    </row>
    <row r="72" spans="1:50" ht="16.5" x14ac:dyDescent="0.45">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c r="AX72" s="12"/>
    </row>
    <row r="73" spans="1:50" ht="16.5" x14ac:dyDescent="0.45">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c r="AX73" s="12"/>
    </row>
    <row r="74" spans="1:50" ht="16.5" x14ac:dyDescent="0.45">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row>
    <row r="75" spans="1:50" ht="16.5" x14ac:dyDescent="0.45">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c r="AX75" s="12"/>
    </row>
    <row r="76" spans="1:50" ht="16.5" x14ac:dyDescent="0.45">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row>
    <row r="77" spans="1:50" ht="16.5" x14ac:dyDescent="0.45">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c r="AX77" s="12"/>
    </row>
    <row r="78" spans="1:50" ht="16.5" x14ac:dyDescent="0.45">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c r="AX78" s="12"/>
    </row>
    <row r="79" spans="1:50" ht="16.5" x14ac:dyDescent="0.45">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row>
    <row r="80" spans="1:50" ht="16.5" x14ac:dyDescent="0.45">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c r="AX80" s="12"/>
    </row>
    <row r="81" spans="2:50" ht="16.5" x14ac:dyDescent="0.45">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row>
    <row r="82" spans="2:50" ht="16.5" x14ac:dyDescent="0.45">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row>
    <row r="83" spans="2:50" ht="16.5" x14ac:dyDescent="0.45">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c r="AX83" s="12"/>
    </row>
    <row r="84" spans="2:50" ht="16.5" x14ac:dyDescent="0.45">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c r="AX84" s="12"/>
    </row>
    <row r="85" spans="2:50" ht="16.5" x14ac:dyDescent="0.45">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c r="AX85" s="12"/>
    </row>
    <row r="86" spans="2:50" ht="16.5" x14ac:dyDescent="0.45">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c r="AX86" s="12"/>
    </row>
    <row r="87" spans="2:50" ht="16.5" x14ac:dyDescent="0.45">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c r="AX87" s="12"/>
    </row>
    <row r="88" spans="2:50" ht="16.5" x14ac:dyDescent="0.45">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row>
    <row r="89" spans="2:50" ht="16.5" x14ac:dyDescent="0.45">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c r="AX89" s="12"/>
    </row>
    <row r="90" spans="2:50" ht="16.5" x14ac:dyDescent="0.45">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c r="AX90" s="12"/>
    </row>
    <row r="91" spans="2:50" ht="16.5" x14ac:dyDescent="0.45">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c r="AX91" s="12"/>
    </row>
  </sheetData>
  <mergeCells count="11">
    <mergeCell ref="AQ25:BA25"/>
    <mergeCell ref="AA24:AC24"/>
    <mergeCell ref="W24:Y24"/>
    <mergeCell ref="C24:E24"/>
    <mergeCell ref="K24:M24"/>
    <mergeCell ref="G24:I24"/>
    <mergeCell ref="O24:Q24"/>
    <mergeCell ref="S24:U24"/>
    <mergeCell ref="AE24:AG24"/>
    <mergeCell ref="AI24:AK24"/>
    <mergeCell ref="AM24:AO24"/>
  </mergeCells>
  <dataValidations count="2">
    <dataValidation type="list" allowBlank="1" showInputMessage="1" showErrorMessage="1" sqref="C10" xr:uid="{00000000-0002-0000-0100-000000000000}">
      <formula1>$BD$11:$BD$12</formula1>
    </dataValidation>
    <dataValidation type="list" allowBlank="1" showInputMessage="1" showErrorMessage="1" sqref="C11" xr:uid="{00000000-0002-0000-0100-000001000000}">
      <formula1>$BE$10:$BE$11</formula1>
    </dataValidation>
  </dataValidations>
  <pageMargins left="0.7" right="0.7" top="0.75" bottom="0.75" header="0.3" footer="0.3"/>
  <pageSetup scale="25" orientation="portrait" r:id="rId1"/>
  <ignoredErrors>
    <ignoredError sqref="D30:N30 D40:K40 D45:J45 N45 D41:F43 D36:F36 L40:N43 D39:N39 E38:F38 H36:J36 L36:N36 H41:J43 D37:N37 D44:F44 D46:N47 P32:P34 P30 P37:Q37 P35 P36 Q31:Q34 Q30 Q35 D35:N35 D31:F34 L31:N34 L38:N38 L44:N44 H31:J34 H38:J38 H44:J44"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87"/>
  <sheetViews>
    <sheetView showGridLines="0" zoomScale="55" zoomScaleNormal="55" zoomScaleSheetLayoutView="85" workbookViewId="0"/>
  </sheetViews>
  <sheetFormatPr baseColWidth="10" defaultColWidth="11.36328125" defaultRowHeight="14.5" x14ac:dyDescent="0.35"/>
  <cols>
    <col min="1" max="1" width="2.1796875" bestFit="1" customWidth="1"/>
    <col min="2" max="2" width="35.36328125" customWidth="1"/>
    <col min="4" max="4" width="14.453125" bestFit="1" customWidth="1"/>
    <col min="5" max="12" width="17" bestFit="1" customWidth="1"/>
    <col min="13" max="14" width="10.1796875" customWidth="1"/>
    <col min="15" max="15" width="34.6328125" customWidth="1"/>
    <col min="17" max="18" width="14.453125" bestFit="1" customWidth="1"/>
    <col min="19" max="19" width="11" customWidth="1"/>
    <col min="20" max="21" width="14.453125" bestFit="1" customWidth="1"/>
  </cols>
  <sheetData>
    <row r="1" spans="1:24" ht="30.5" thickBot="1" x14ac:dyDescent="0.85">
      <c r="A1" s="4"/>
      <c r="B1" s="10" t="s">
        <v>65</v>
      </c>
      <c r="C1" s="4"/>
      <c r="D1" s="4"/>
      <c r="E1" s="4"/>
      <c r="F1" s="4"/>
      <c r="G1" s="4"/>
      <c r="H1" s="4"/>
      <c r="I1" s="4"/>
      <c r="J1" s="4"/>
      <c r="K1" s="4"/>
      <c r="L1" s="4"/>
      <c r="M1" s="4"/>
      <c r="N1" s="4"/>
      <c r="O1" s="4"/>
      <c r="P1" s="4"/>
      <c r="Q1" s="4"/>
      <c r="R1" s="4"/>
      <c r="S1" s="4"/>
    </row>
    <row r="6" spans="1:24" ht="16.5" x14ac:dyDescent="0.45">
      <c r="A6" s="1" t="s">
        <v>2</v>
      </c>
      <c r="B6" s="71" t="s">
        <v>19</v>
      </c>
      <c r="C6" s="72"/>
      <c r="D6" s="12"/>
      <c r="E6" s="12"/>
      <c r="F6" s="12"/>
      <c r="G6" s="12"/>
      <c r="H6" s="12"/>
      <c r="I6" s="12"/>
      <c r="J6" s="12"/>
      <c r="K6" s="12"/>
      <c r="L6" s="12"/>
      <c r="M6" s="12"/>
      <c r="N6" s="12"/>
      <c r="O6" s="12"/>
      <c r="P6" s="12"/>
      <c r="Q6" s="12"/>
      <c r="R6" s="12"/>
      <c r="S6" s="12"/>
      <c r="T6" s="12"/>
      <c r="U6" s="12"/>
      <c r="V6" s="12"/>
      <c r="W6" s="12"/>
      <c r="X6" s="12"/>
    </row>
    <row r="7" spans="1:24" ht="16.5" x14ac:dyDescent="0.45">
      <c r="B7" s="14" t="s">
        <v>66</v>
      </c>
      <c r="C7" s="103">
        <v>22.046199999999999</v>
      </c>
      <c r="D7" s="12"/>
      <c r="E7" s="12"/>
      <c r="F7" s="12"/>
      <c r="G7" s="12"/>
      <c r="H7" s="12"/>
      <c r="I7" s="12"/>
      <c r="J7" s="12"/>
      <c r="K7" s="12"/>
      <c r="L7" s="12"/>
      <c r="M7" s="12"/>
      <c r="N7" s="12"/>
      <c r="O7" s="12"/>
      <c r="P7" s="12"/>
      <c r="Q7" s="12"/>
      <c r="R7" s="12"/>
      <c r="S7" s="12"/>
      <c r="T7" s="12"/>
      <c r="U7" s="12"/>
      <c r="V7" s="12"/>
      <c r="W7" s="12"/>
      <c r="X7" s="12"/>
    </row>
    <row r="8" spans="1:24" ht="16.5" x14ac:dyDescent="0.45">
      <c r="B8" s="12" t="s">
        <v>67</v>
      </c>
      <c r="C8" s="104">
        <v>1.6760999999999999</v>
      </c>
      <c r="D8" s="12"/>
      <c r="E8" s="12"/>
      <c r="F8" s="12"/>
      <c r="G8" s="12"/>
      <c r="H8" s="12"/>
      <c r="I8" s="12"/>
      <c r="J8" s="12"/>
      <c r="K8" s="12"/>
      <c r="L8" s="12"/>
      <c r="M8" s="12"/>
      <c r="N8" s="12"/>
      <c r="O8" s="12"/>
      <c r="P8" s="12"/>
      <c r="Q8" s="12"/>
      <c r="R8" s="12"/>
      <c r="S8" s="12"/>
      <c r="T8" s="12"/>
      <c r="U8" s="12"/>
      <c r="V8" s="12"/>
      <c r="W8" s="12"/>
      <c r="X8" s="12"/>
    </row>
    <row r="9" spans="1:24" ht="16.5" x14ac:dyDescent="0.45">
      <c r="B9" s="12" t="s">
        <v>68</v>
      </c>
      <c r="C9" s="104">
        <v>1.7650999999999999</v>
      </c>
      <c r="D9" s="12"/>
      <c r="E9" s="12"/>
      <c r="F9" s="12"/>
      <c r="G9" s="12"/>
      <c r="H9" s="12"/>
      <c r="I9" s="12"/>
      <c r="J9" s="12"/>
      <c r="K9" s="12"/>
      <c r="L9" s="12"/>
      <c r="M9" s="12"/>
      <c r="N9" s="12"/>
      <c r="O9" s="12"/>
      <c r="P9" s="12"/>
      <c r="Q9" s="12"/>
      <c r="R9" s="12"/>
      <c r="S9" s="12"/>
      <c r="T9" s="12"/>
      <c r="U9" s="12"/>
      <c r="V9" s="12"/>
      <c r="W9" s="12"/>
      <c r="X9" s="12"/>
    </row>
    <row r="10" spans="1:24" ht="16.5" x14ac:dyDescent="0.45">
      <c r="B10" s="12" t="s">
        <v>69</v>
      </c>
      <c r="C10" s="104">
        <v>1.0452999999999999</v>
      </c>
      <c r="D10" s="12"/>
      <c r="E10" s="12"/>
      <c r="F10" s="12"/>
      <c r="G10" s="12"/>
      <c r="H10" s="12"/>
      <c r="I10" s="12"/>
      <c r="J10" s="12"/>
      <c r="K10" s="12"/>
      <c r="L10" s="12"/>
      <c r="M10" s="12"/>
      <c r="N10" s="12"/>
      <c r="O10" s="12"/>
      <c r="P10" s="12"/>
      <c r="Q10" s="12"/>
      <c r="R10" s="12"/>
      <c r="S10" s="12"/>
      <c r="T10" s="12"/>
      <c r="U10" s="12"/>
      <c r="V10" s="12"/>
      <c r="W10" s="12"/>
      <c r="X10" s="12"/>
    </row>
    <row r="11" spans="1:24" ht="16.5" x14ac:dyDescent="0.45">
      <c r="B11" s="12"/>
      <c r="C11" s="12"/>
      <c r="D11" s="12"/>
      <c r="E11" s="12"/>
      <c r="F11" s="12"/>
      <c r="G11" s="12"/>
      <c r="H11" s="12"/>
      <c r="I11" s="12"/>
      <c r="J11" s="12"/>
      <c r="K11" s="12"/>
      <c r="L11" s="12"/>
      <c r="M11" s="12"/>
      <c r="N11" s="12"/>
      <c r="O11" s="12"/>
      <c r="P11" s="12"/>
      <c r="Q11" s="18"/>
      <c r="R11" s="18"/>
      <c r="S11" s="12"/>
      <c r="T11" s="12"/>
      <c r="U11" s="37"/>
      <c r="V11" s="37"/>
      <c r="W11" s="37"/>
      <c r="X11" s="12"/>
    </row>
    <row r="12" spans="1:24" ht="16.5" x14ac:dyDescent="0.45">
      <c r="B12" s="12"/>
      <c r="C12" s="12"/>
      <c r="D12" s="12"/>
      <c r="E12" s="12"/>
      <c r="F12" s="12"/>
      <c r="G12" s="12"/>
      <c r="H12" s="12"/>
      <c r="I12" s="12"/>
      <c r="J12" s="12"/>
      <c r="K12" s="12"/>
      <c r="L12" s="12"/>
      <c r="M12" s="12"/>
      <c r="N12" s="12"/>
      <c r="O12" s="12"/>
      <c r="P12" s="12"/>
      <c r="Q12" s="12"/>
      <c r="R12" s="74"/>
      <c r="S12" s="12"/>
      <c r="T12" s="12"/>
      <c r="U12" s="12"/>
      <c r="V12" s="12"/>
      <c r="W12" s="12"/>
      <c r="X12" s="12"/>
    </row>
    <row r="13" spans="1:24" ht="16.5" x14ac:dyDescent="0.45">
      <c r="A13" s="1"/>
      <c r="B13" s="71" t="s">
        <v>65</v>
      </c>
      <c r="C13" s="72"/>
      <c r="D13" s="72">
        <v>2017</v>
      </c>
      <c r="E13" s="72">
        <v>2018</v>
      </c>
      <c r="F13" s="72">
        <v>2019</v>
      </c>
      <c r="G13" s="72">
        <v>2020</v>
      </c>
      <c r="H13" s="72">
        <v>2021</v>
      </c>
      <c r="I13" s="72">
        <v>2022</v>
      </c>
      <c r="J13" s="72">
        <v>2023</v>
      </c>
      <c r="K13" s="72">
        <v>2024</v>
      </c>
      <c r="L13" s="72">
        <v>2025</v>
      </c>
      <c r="M13" s="12"/>
      <c r="N13" s="12"/>
      <c r="O13" s="12"/>
      <c r="P13" s="12"/>
      <c r="Q13" s="12"/>
      <c r="R13" s="12"/>
      <c r="S13" s="12"/>
      <c r="T13" s="12"/>
      <c r="U13" s="12"/>
      <c r="V13" s="12"/>
      <c r="W13" s="12"/>
      <c r="X13" s="12"/>
    </row>
    <row r="14" spans="1:24" ht="16.5" x14ac:dyDescent="0.45">
      <c r="A14" s="1" t="s">
        <v>2</v>
      </c>
      <c r="B14" s="70" t="s">
        <v>59</v>
      </c>
      <c r="C14" s="70" t="s">
        <v>47</v>
      </c>
      <c r="D14" s="69">
        <v>304760.65593854699</v>
      </c>
      <c r="E14" s="69">
        <v>127874.77149163838</v>
      </c>
      <c r="F14" s="69">
        <v>97200.378011389199</v>
      </c>
      <c r="G14" s="69">
        <v>167831.87470776975</v>
      </c>
      <c r="H14" s="69">
        <v>206540</v>
      </c>
      <c r="I14" s="69">
        <v>181891</v>
      </c>
      <c r="J14" s="69">
        <v>416165</v>
      </c>
      <c r="K14" s="69">
        <v>390751</v>
      </c>
      <c r="L14" s="69">
        <v>266086.79071186</v>
      </c>
      <c r="M14" s="12"/>
      <c r="N14" s="12"/>
      <c r="O14" s="12"/>
      <c r="P14" s="12"/>
      <c r="Q14" s="12"/>
      <c r="R14" s="12"/>
      <c r="S14" s="57"/>
      <c r="T14" s="12"/>
      <c r="U14" s="12"/>
      <c r="V14" s="12"/>
      <c r="W14" s="12"/>
      <c r="X14" s="12"/>
    </row>
    <row r="15" spans="1:24" ht="16.5" x14ac:dyDescent="0.45">
      <c r="B15" s="75" t="s">
        <v>59</v>
      </c>
      <c r="C15" s="14" t="s">
        <v>47</v>
      </c>
      <c r="D15" s="15">
        <v>220460.4589121083</v>
      </c>
      <c r="E15" s="15">
        <v>89615.316116322792</v>
      </c>
      <c r="F15" s="15">
        <v>61810.50146005577</v>
      </c>
      <c r="G15" s="15">
        <v>167831.87470776975</v>
      </c>
      <c r="H15" s="15">
        <v>206540</v>
      </c>
      <c r="I15" s="15">
        <v>181891</v>
      </c>
      <c r="J15" s="15">
        <v>416165</v>
      </c>
      <c r="K15" s="15">
        <v>390751</v>
      </c>
      <c r="L15" s="15">
        <v>252915</v>
      </c>
      <c r="M15" s="74"/>
      <c r="N15" s="74"/>
      <c r="O15" s="12"/>
      <c r="P15" s="12"/>
      <c r="Q15" s="12"/>
      <c r="R15" s="12"/>
      <c r="S15" s="74"/>
      <c r="T15" s="12"/>
      <c r="U15" s="12"/>
      <c r="V15" s="12"/>
      <c r="W15" s="12"/>
      <c r="X15" s="12"/>
    </row>
    <row r="16" spans="1:24" ht="16.5" x14ac:dyDescent="0.45">
      <c r="B16" s="76" t="s">
        <v>72</v>
      </c>
      <c r="C16" s="77" t="s">
        <v>73</v>
      </c>
      <c r="D16" s="16">
        <v>605571.41859999998</v>
      </c>
      <c r="E16" s="16">
        <v>344234.47139999998</v>
      </c>
      <c r="F16" s="16">
        <v>217629.51319637703</v>
      </c>
      <c r="G16" s="16">
        <v>641068.46996312286</v>
      </c>
      <c r="H16" s="16">
        <v>537502</v>
      </c>
      <c r="I16" s="16">
        <v>430622.83973013191</v>
      </c>
      <c r="J16" s="16">
        <v>796297.59000000008</v>
      </c>
      <c r="K16" s="16">
        <v>845807.42</v>
      </c>
      <c r="L16" s="16">
        <v>617862.47</v>
      </c>
      <c r="M16" s="74"/>
      <c r="N16" s="74"/>
      <c r="O16" s="78"/>
      <c r="P16" s="12"/>
      <c r="Q16" s="12"/>
      <c r="R16" s="12"/>
      <c r="S16" s="74"/>
      <c r="T16" s="12"/>
      <c r="U16" s="12"/>
      <c r="V16" s="12"/>
      <c r="W16" s="12"/>
      <c r="X16" s="12"/>
    </row>
    <row r="17" spans="1:25" ht="16.5" x14ac:dyDescent="0.45">
      <c r="B17" s="79" t="s">
        <v>75</v>
      </c>
      <c r="C17" s="80" t="s">
        <v>76</v>
      </c>
      <c r="D17" s="81">
        <v>364.05360646277421</v>
      </c>
      <c r="E17" s="81">
        <v>260.33219669098713</v>
      </c>
      <c r="F17" s="81">
        <v>284.01709194782484</v>
      </c>
      <c r="G17" s="81">
        <v>261.80023284786444</v>
      </c>
      <c r="H17" s="81">
        <v>384.25903531521743</v>
      </c>
      <c r="I17" s="81">
        <v>422.39050793030327</v>
      </c>
      <c r="J17" s="81">
        <v>522.62496487023145</v>
      </c>
      <c r="K17" s="81">
        <v>461.98577922146859</v>
      </c>
      <c r="L17" s="81">
        <v>409.33866722799979</v>
      </c>
      <c r="M17" s="12"/>
      <c r="N17" s="12"/>
      <c r="O17" s="78"/>
      <c r="P17" s="12"/>
      <c r="Q17" s="12"/>
      <c r="R17" s="12"/>
      <c r="S17" s="74"/>
      <c r="T17" s="12"/>
      <c r="U17" s="12"/>
      <c r="V17" s="12"/>
      <c r="W17" s="12"/>
      <c r="X17" s="12"/>
    </row>
    <row r="18" spans="1:25" ht="16.5" x14ac:dyDescent="0.45">
      <c r="B18" s="24" t="s">
        <v>78</v>
      </c>
      <c r="C18" s="12" t="s">
        <v>47</v>
      </c>
      <c r="D18" s="16">
        <v>84300.197026438691</v>
      </c>
      <c r="E18" s="16">
        <v>38259.455375315592</v>
      </c>
      <c r="F18" s="16">
        <v>35389.876551333429</v>
      </c>
      <c r="G18" s="16">
        <v>0</v>
      </c>
      <c r="H18" s="16">
        <v>0</v>
      </c>
      <c r="I18" s="16">
        <v>0</v>
      </c>
      <c r="J18" s="16">
        <v>0</v>
      </c>
      <c r="K18" s="16">
        <v>0</v>
      </c>
      <c r="L18" s="16">
        <v>13171.79071186</v>
      </c>
      <c r="M18" s="12"/>
      <c r="N18" s="57"/>
      <c r="O18" s="12"/>
      <c r="P18" s="12"/>
      <c r="Q18" s="12"/>
      <c r="R18" s="12"/>
      <c r="S18" s="74"/>
      <c r="T18" s="12"/>
      <c r="U18" s="12"/>
      <c r="V18" s="12"/>
      <c r="W18" s="12"/>
      <c r="X18" s="12"/>
    </row>
    <row r="19" spans="1:25" ht="16.5" x14ac:dyDescent="0.45">
      <c r="B19" s="76" t="s">
        <v>72</v>
      </c>
      <c r="C19" s="77" t="s">
        <v>73</v>
      </c>
      <c r="D19" s="16">
        <v>216995.44039999996</v>
      </c>
      <c r="E19" s="16">
        <v>107274.39159999997</v>
      </c>
      <c r="F19" s="16">
        <v>119817.15076285</v>
      </c>
      <c r="G19" s="16">
        <v>0</v>
      </c>
      <c r="H19" s="16">
        <v>0</v>
      </c>
      <c r="I19" s="16">
        <v>0</v>
      </c>
      <c r="J19" s="16">
        <v>0</v>
      </c>
      <c r="K19" s="16">
        <v>0</v>
      </c>
      <c r="L19" s="16">
        <v>37365</v>
      </c>
      <c r="M19" s="12"/>
      <c r="N19" s="57"/>
      <c r="O19" s="12"/>
      <c r="P19" s="12"/>
      <c r="Q19" s="12"/>
      <c r="R19" s="12"/>
      <c r="S19" s="12"/>
      <c r="T19" s="12"/>
      <c r="U19" s="12"/>
      <c r="V19" s="12"/>
      <c r="W19" s="12"/>
      <c r="X19" s="12"/>
    </row>
    <row r="20" spans="1:25" ht="16.5" x14ac:dyDescent="0.45">
      <c r="B20" s="79" t="s">
        <v>75</v>
      </c>
      <c r="C20" s="80" t="s">
        <v>76</v>
      </c>
      <c r="D20" s="81">
        <v>388.48833353845305</v>
      </c>
      <c r="E20" s="81">
        <v>356.65040653854987</v>
      </c>
      <c r="F20" s="81">
        <v>295.36569953478033</v>
      </c>
      <c r="G20" s="81">
        <v>0</v>
      </c>
      <c r="H20" s="81">
        <v>0</v>
      </c>
      <c r="I20" s="81">
        <v>0</v>
      </c>
      <c r="J20" s="81">
        <v>0</v>
      </c>
      <c r="K20" s="81">
        <v>0</v>
      </c>
      <c r="L20" s="81">
        <v>352.51681284249963</v>
      </c>
      <c r="M20" s="12"/>
      <c r="N20" s="12"/>
      <c r="O20" s="12"/>
      <c r="P20" s="12"/>
      <c r="Q20" s="12"/>
      <c r="R20" s="12"/>
      <c r="S20" s="12"/>
      <c r="T20" s="12"/>
      <c r="U20" s="12"/>
      <c r="V20" s="12"/>
      <c r="W20" s="12"/>
      <c r="X20" s="12"/>
    </row>
    <row r="21" spans="1:25" ht="16.5" x14ac:dyDescent="0.45">
      <c r="B21" s="70" t="s">
        <v>81</v>
      </c>
      <c r="C21" s="70" t="s">
        <v>47</v>
      </c>
      <c r="D21" s="69">
        <v>34491.279291408136</v>
      </c>
      <c r="E21" s="69">
        <v>47920.1693251623</v>
      </c>
      <c r="F21" s="69">
        <v>-35.515934400003061</v>
      </c>
      <c r="G21" s="69">
        <v>2625.3080409133236</v>
      </c>
      <c r="H21" s="69">
        <v>-9537.700467102075</v>
      </c>
      <c r="I21" s="69">
        <v>-2135.7910916563278</v>
      </c>
      <c r="J21" s="69">
        <v>6034.6330133622378</v>
      </c>
      <c r="K21" s="69">
        <v>10813</v>
      </c>
      <c r="L21" s="69">
        <v>381</v>
      </c>
      <c r="M21" s="57"/>
      <c r="N21" s="57"/>
      <c r="O21" s="12"/>
      <c r="P21" s="12"/>
      <c r="Q21" s="12"/>
      <c r="R21" s="12"/>
      <c r="S21" s="12"/>
      <c r="T21" s="12"/>
      <c r="U21" s="12"/>
      <c r="V21" s="12"/>
      <c r="W21" s="12"/>
      <c r="X21" s="12"/>
    </row>
    <row r="22" spans="1:25" ht="16.5" x14ac:dyDescent="0.45">
      <c r="B22" s="24" t="s">
        <v>109</v>
      </c>
      <c r="C22" s="77" t="s">
        <v>47</v>
      </c>
      <c r="D22" s="25">
        <v>23511.742463432558</v>
      </c>
      <c r="E22" s="25">
        <v>37587.818699792202</v>
      </c>
      <c r="F22" s="25">
        <v>3040</v>
      </c>
      <c r="G22" s="25">
        <v>9275.2274797163063</v>
      </c>
      <c r="H22" s="25">
        <v>-9829.7144315461683</v>
      </c>
      <c r="I22" s="25">
        <v>-571.73112461233006</v>
      </c>
      <c r="J22" s="25">
        <v>-85.050245673738033</v>
      </c>
      <c r="K22" s="25">
        <v>10813</v>
      </c>
      <c r="L22" s="25">
        <v>381</v>
      </c>
      <c r="M22" s="12"/>
      <c r="N22" s="12"/>
      <c r="O22" s="12"/>
      <c r="P22" s="12"/>
      <c r="Q22" s="12"/>
      <c r="R22" s="12"/>
      <c r="S22" s="12"/>
      <c r="T22" s="12"/>
      <c r="U22" s="12"/>
      <c r="V22" s="12"/>
      <c r="W22" s="12"/>
      <c r="X22" s="12"/>
    </row>
    <row r="23" spans="1:25" ht="16.5" x14ac:dyDescent="0.45">
      <c r="B23" s="24" t="s">
        <v>108</v>
      </c>
      <c r="C23" s="77" t="s">
        <v>47</v>
      </c>
      <c r="D23" s="25">
        <v>10979.536827975578</v>
      </c>
      <c r="E23" s="25">
        <v>10332.3506253701</v>
      </c>
      <c r="F23" s="25">
        <v>-3075.5159344000031</v>
      </c>
      <c r="G23" s="25">
        <v>-6649.9194388029828</v>
      </c>
      <c r="H23" s="25">
        <v>292.01396444409403</v>
      </c>
      <c r="I23" s="25">
        <v>-1564.0599670439976</v>
      </c>
      <c r="J23" s="25">
        <v>6119.6832590359754</v>
      </c>
      <c r="K23" s="25">
        <v>0</v>
      </c>
      <c r="L23" s="25">
        <v>0</v>
      </c>
      <c r="M23" s="12"/>
      <c r="N23" s="12"/>
      <c r="O23" s="12"/>
      <c r="P23" s="12"/>
      <c r="Q23" s="12"/>
      <c r="R23" s="12"/>
      <c r="S23" s="12"/>
      <c r="T23" s="12"/>
      <c r="U23" s="12"/>
      <c r="V23" s="12"/>
      <c r="W23" s="12"/>
      <c r="X23" s="12"/>
    </row>
    <row r="24" spans="1:25" ht="16.5" x14ac:dyDescent="0.45">
      <c r="B24" s="70" t="s">
        <v>83</v>
      </c>
      <c r="C24" s="70" t="s">
        <v>47</v>
      </c>
      <c r="D24" s="69">
        <v>-22341</v>
      </c>
      <c r="E24" s="69">
        <v>-11194</v>
      </c>
      <c r="F24" s="69">
        <v>-5914.0379999999996</v>
      </c>
      <c r="G24" s="69">
        <v>-16657.310322386595</v>
      </c>
      <c r="H24" s="69">
        <v>-16589.542725788589</v>
      </c>
      <c r="I24" s="69">
        <v>-18079</v>
      </c>
      <c r="J24" s="69">
        <v>-35815</v>
      </c>
      <c r="K24" s="69">
        <v>-30218</v>
      </c>
      <c r="L24" s="69">
        <v>-25350</v>
      </c>
      <c r="M24" s="12"/>
      <c r="N24" s="12"/>
      <c r="O24" s="71" t="s">
        <v>65</v>
      </c>
      <c r="P24" s="72"/>
      <c r="Q24" s="72">
        <v>2017</v>
      </c>
      <c r="R24" s="72">
        <v>2018</v>
      </c>
      <c r="S24" s="72">
        <v>2019</v>
      </c>
      <c r="T24" s="72">
        <v>2020</v>
      </c>
      <c r="U24" s="72">
        <v>2021</v>
      </c>
      <c r="V24" s="72">
        <v>2022</v>
      </c>
      <c r="W24" s="72">
        <v>2023</v>
      </c>
      <c r="X24" s="72">
        <v>2024</v>
      </c>
      <c r="Y24" s="72">
        <v>2025</v>
      </c>
    </row>
    <row r="25" spans="1:25" ht="16.5" x14ac:dyDescent="0.45">
      <c r="B25" s="11"/>
      <c r="C25" s="11"/>
      <c r="D25" s="82"/>
      <c r="E25" s="82"/>
      <c r="F25" s="82"/>
      <c r="G25" s="82"/>
      <c r="H25" s="82"/>
      <c r="I25" s="82"/>
      <c r="J25" s="82"/>
      <c r="K25" s="82"/>
      <c r="L25" s="82"/>
      <c r="M25" s="12"/>
      <c r="N25" s="12"/>
      <c r="O25" s="70" t="s">
        <v>70</v>
      </c>
      <c r="P25" s="69"/>
      <c r="Q25" s="73">
        <f t="shared" ref="Q25:Y25" si="0">+(D16/(D16+D19))*Q26+(D19/(D16+D19))*Q27+Q28+Q29</f>
        <v>18.707570168788745</v>
      </c>
      <c r="R25" s="73">
        <f t="shared" si="0"/>
        <v>17.6606364135002</v>
      </c>
      <c r="S25" s="73">
        <f t="shared" si="0"/>
        <v>13.060817365122764</v>
      </c>
      <c r="T25" s="73">
        <f t="shared" si="0"/>
        <v>12.060828613459243</v>
      </c>
      <c r="U25" s="73">
        <f t="shared" si="0"/>
        <v>16.624839760715037</v>
      </c>
      <c r="V25" s="73">
        <f t="shared" si="0"/>
        <v>18.934362201049215</v>
      </c>
      <c r="W25" s="73">
        <f t="shared" si="0"/>
        <v>24.049647054839177</v>
      </c>
      <c r="X25" s="73">
        <f t="shared" si="0"/>
        <v>21.535231162267792</v>
      </c>
      <c r="Y25" s="73">
        <f t="shared" si="0"/>
        <v>18.446708356088873</v>
      </c>
    </row>
    <row r="26" spans="1:25" ht="16.5" x14ac:dyDescent="0.45">
      <c r="A26" s="1" t="s">
        <v>2</v>
      </c>
      <c r="B26" s="70" t="s">
        <v>60</v>
      </c>
      <c r="C26" s="70" t="s">
        <v>47</v>
      </c>
      <c r="D26" s="69">
        <v>216976.01797235018</v>
      </c>
      <c r="E26" s="69">
        <v>291745.56534458697</v>
      </c>
      <c r="F26" s="69">
        <v>337100.64608266158</v>
      </c>
      <c r="G26" s="69">
        <v>180569</v>
      </c>
      <c r="H26" s="69">
        <v>271543</v>
      </c>
      <c r="I26" s="69">
        <v>371722</v>
      </c>
      <c r="J26" s="69">
        <v>233294</v>
      </c>
      <c r="K26" s="69">
        <v>242854</v>
      </c>
      <c r="L26" s="69">
        <v>309543</v>
      </c>
      <c r="M26" s="12"/>
      <c r="N26" s="12"/>
      <c r="O26" s="83" t="s">
        <v>71</v>
      </c>
      <c r="P26" s="84"/>
      <c r="Q26" s="85">
        <f t="shared" ref="Q26:Y26" si="1">+D17/$C$7</f>
        <v>16.513213454598716</v>
      </c>
      <c r="R26" s="85">
        <f t="shared" si="1"/>
        <v>11.808483851683608</v>
      </c>
      <c r="S26" s="85">
        <f t="shared" si="1"/>
        <v>12.882813906606348</v>
      </c>
      <c r="T26" s="85">
        <f t="shared" si="1"/>
        <v>11.875072930839076</v>
      </c>
      <c r="U26" s="85">
        <f t="shared" si="1"/>
        <v>17.42971738055617</v>
      </c>
      <c r="V26" s="85">
        <f t="shared" si="1"/>
        <v>19.159333941010392</v>
      </c>
      <c r="W26" s="85">
        <f t="shared" si="1"/>
        <v>23.70589783591873</v>
      </c>
      <c r="X26" s="85">
        <f t="shared" si="1"/>
        <v>20.955347371495705</v>
      </c>
      <c r="Y26" s="85">
        <f t="shared" si="1"/>
        <v>18.567311701245558</v>
      </c>
    </row>
    <row r="27" spans="1:25" ht="16.5" x14ac:dyDescent="0.45">
      <c r="B27" s="75" t="s">
        <v>84</v>
      </c>
      <c r="C27" s="14" t="s">
        <v>47</v>
      </c>
      <c r="D27" s="15">
        <v>111996.58776229608</v>
      </c>
      <c r="E27" s="15">
        <v>178064.86006782006</v>
      </c>
      <c r="F27" s="15">
        <v>205233.79626388397</v>
      </c>
      <c r="G27" s="15">
        <v>88672</v>
      </c>
      <c r="H27" s="15">
        <v>109994</v>
      </c>
      <c r="I27" s="15">
        <v>104418</v>
      </c>
      <c r="J27" s="15">
        <v>98875</v>
      </c>
      <c r="K27" s="15">
        <v>162466</v>
      </c>
      <c r="L27" s="15">
        <v>233116</v>
      </c>
      <c r="M27" s="12"/>
      <c r="N27" s="12"/>
      <c r="O27" s="24" t="s">
        <v>74</v>
      </c>
      <c r="P27" s="12"/>
      <c r="Q27" s="86">
        <f t="shared" ref="Q27:Y27" si="2">+D20/$C$7</f>
        <v>17.621555349151013</v>
      </c>
      <c r="R27" s="86">
        <f t="shared" si="2"/>
        <v>16.177409555322456</v>
      </c>
      <c r="S27" s="86">
        <f t="shared" si="2"/>
        <v>13.397578699947399</v>
      </c>
      <c r="T27" s="86">
        <f t="shared" si="2"/>
        <v>0</v>
      </c>
      <c r="U27" s="86">
        <f t="shared" si="2"/>
        <v>0</v>
      </c>
      <c r="V27" s="86">
        <f t="shared" si="2"/>
        <v>0</v>
      </c>
      <c r="W27" s="86">
        <f t="shared" si="2"/>
        <v>0</v>
      </c>
      <c r="X27" s="86">
        <f t="shared" si="2"/>
        <v>0</v>
      </c>
      <c r="Y27" s="86">
        <f t="shared" si="2"/>
        <v>15.989912676220829</v>
      </c>
    </row>
    <row r="28" spans="1:25" ht="16.5" x14ac:dyDescent="0.45">
      <c r="B28" s="76" t="s">
        <v>72</v>
      </c>
      <c r="C28" s="77" t="s">
        <v>91</v>
      </c>
      <c r="D28" s="16">
        <v>239153.95199999996</v>
      </c>
      <c r="E28" s="16">
        <v>411776.17599999992</v>
      </c>
      <c r="F28" s="16">
        <v>486836.13000115892</v>
      </c>
      <c r="G28" s="16">
        <v>251852.15799884096</v>
      </c>
      <c r="H28" s="16">
        <v>212695.46399999992</v>
      </c>
      <c r="I28" s="16">
        <v>162313</v>
      </c>
      <c r="J28" s="16">
        <v>228941.42</v>
      </c>
      <c r="K28" s="16">
        <v>381982.24</v>
      </c>
      <c r="L28" s="16">
        <v>498623.68000000005</v>
      </c>
      <c r="M28" s="12"/>
      <c r="N28" s="12"/>
      <c r="O28" s="24" t="s">
        <v>77</v>
      </c>
      <c r="P28" s="12"/>
      <c r="Q28" s="86">
        <f t="shared" ref="Q28:Y28" si="3">+((D21*1000)/(D16+D19))/$C$7</f>
        <v>1.9019730193077287</v>
      </c>
      <c r="R28" s="86">
        <f t="shared" si="3"/>
        <v>4.8141356252510299</v>
      </c>
      <c r="S28" s="86">
        <f t="shared" si="3"/>
        <v>-4.7740214192098871E-3</v>
      </c>
      <c r="T28" s="86">
        <f t="shared" si="3"/>
        <v>0.1857556826201662</v>
      </c>
      <c r="U28" s="86">
        <f t="shared" si="3"/>
        <v>-0.80487761984113371</v>
      </c>
      <c r="V28" s="86">
        <f t="shared" si="3"/>
        <v>-0.2249717399611785</v>
      </c>
      <c r="W28" s="86">
        <f t="shared" si="3"/>
        <v>0.34374921892044641</v>
      </c>
      <c r="X28" s="86">
        <f t="shared" si="3"/>
        <v>0.57988379077208529</v>
      </c>
      <c r="Y28" s="86">
        <f t="shared" si="3"/>
        <v>2.6375404940665682E-2</v>
      </c>
    </row>
    <row r="29" spans="1:25" ht="16.5" x14ac:dyDescent="0.45">
      <c r="B29" s="87" t="s">
        <v>92</v>
      </c>
      <c r="C29" s="77" t="s">
        <v>73</v>
      </c>
      <c r="D29" s="16">
        <f t="shared" ref="D29:I29" si="4">+D28*$C$8/$C$10</f>
        <v>383474.54218616657</v>
      </c>
      <c r="E29" s="16">
        <f t="shared" si="4"/>
        <v>660267.91217219923</v>
      </c>
      <c r="F29" s="16">
        <f t="shared" si="4"/>
        <v>780623.78024963406</v>
      </c>
      <c r="G29" s="16">
        <f t="shared" si="4"/>
        <v>403835.64720353711</v>
      </c>
      <c r="H29" s="16">
        <f t="shared" si="4"/>
        <v>341049.33245039691</v>
      </c>
      <c r="I29" s="16">
        <f t="shared" si="4"/>
        <v>260262.90949966517</v>
      </c>
      <c r="J29" s="16">
        <f t="shared" ref="J29:K29" si="5">+J28*$C$8/$C$10</f>
        <v>367099.12375585956</v>
      </c>
      <c r="K29" s="16">
        <f t="shared" si="5"/>
        <v>612494.43457763328</v>
      </c>
      <c r="L29" s="16">
        <f t="shared" ref="L29" si="6">+L28*$C$8/$C$10</f>
        <v>799524.6819554196</v>
      </c>
      <c r="M29" s="12"/>
      <c r="N29" s="12"/>
      <c r="O29" s="24" t="s">
        <v>79</v>
      </c>
      <c r="P29" s="12"/>
      <c r="Q29" s="88">
        <f>+IF('1. Total Cash Cost Evolution '!C11="Price",((D24*1000)/(D16+D19))/$C$7,0)</f>
        <v>0</v>
      </c>
      <c r="R29" s="88">
        <f>+IF('1. Total Cash Cost Evolution '!C11="Price",((E24*1000)/(E16+E19))/$C$7,0)</f>
        <v>0</v>
      </c>
      <c r="S29" s="88">
        <f>+IF('1. Total Cash Cost Evolution '!$C$11="Price",((F24*1000)/(F16+F19))/$C$7,0)</f>
        <v>0</v>
      </c>
      <c r="T29" s="88">
        <f>+IF('1. Total Cash Cost Evolution '!$C$11="Price",((G24*1000)/(G16+G19))/$C$7,0)</f>
        <v>0</v>
      </c>
      <c r="U29" s="88">
        <f>+IF('1. Total Cash Cost Evolution '!$C$11="Price",((H24*1000)/(H16+H19))/$C$7,0)</f>
        <v>0</v>
      </c>
      <c r="V29" s="88">
        <f>+IF('1. Total Cash Cost Evolution '!$C$11="Price",((I24*1000)/(I16+I19))/$C$7,0)</f>
        <v>0</v>
      </c>
      <c r="W29" s="88">
        <f>+IF('1. Total Cash Cost Evolution '!$C$11="Price",((J24*1000)/(J16+J19))/$C$7,0)</f>
        <v>0</v>
      </c>
      <c r="X29" s="88">
        <f>+IF('1. Total Cash Cost Evolution '!$C$11="Price",((K24*1000)/(K16+K19))/$C$7,0)</f>
        <v>0</v>
      </c>
      <c r="Y29" s="88">
        <f>+IF('1. Total Cash Cost Evolution '!$C$11="Price",((L24*1000)/(L16+L19))/$C$7,0)</f>
        <v>0</v>
      </c>
    </row>
    <row r="30" spans="1:25" ht="16.5" x14ac:dyDescent="0.45">
      <c r="B30" s="79" t="s">
        <v>75</v>
      </c>
      <c r="C30" s="80" t="s">
        <v>86</v>
      </c>
      <c r="D30" s="81">
        <v>468.30331184448124</v>
      </c>
      <c r="E30" s="81">
        <v>432.43118579016601</v>
      </c>
      <c r="F30" s="81">
        <v>421.56648534568586</v>
      </c>
      <c r="G30" s="81">
        <v>352.07957201783466</v>
      </c>
      <c r="H30" s="81">
        <v>517.14313945124866</v>
      </c>
      <c r="I30" s="81">
        <v>643.31261205202293</v>
      </c>
      <c r="J30" s="81">
        <v>431.87903700431315</v>
      </c>
      <c r="K30" s="81">
        <v>425.32343912114868</v>
      </c>
      <c r="L30" s="81">
        <v>467.51891125587935</v>
      </c>
      <c r="M30" s="12"/>
      <c r="N30" s="12"/>
      <c r="O30" s="70" t="s">
        <v>80</v>
      </c>
      <c r="P30" s="70"/>
      <c r="Q30" s="73">
        <f t="shared" ref="Q30:V30" si="7">+Q31+Q33+Q32</f>
        <v>13.679068920915437</v>
      </c>
      <c r="R30" s="73">
        <f t="shared" si="7"/>
        <v>12.71870700264058</v>
      </c>
      <c r="S30" s="73">
        <f t="shared" si="7"/>
        <v>12.200347755596894</v>
      </c>
      <c r="T30" s="73">
        <f t="shared" si="7"/>
        <v>10.12548142390072</v>
      </c>
      <c r="U30" s="73">
        <f t="shared" si="7"/>
        <v>15.560219266238363</v>
      </c>
      <c r="V30" s="73">
        <f t="shared" si="7"/>
        <v>18.355565229869903</v>
      </c>
      <c r="W30" s="73">
        <f t="shared" ref="W30:X30" si="8">+W31+W33+W32</f>
        <v>13.951585218404631</v>
      </c>
      <c r="X30" s="73">
        <f t="shared" si="8"/>
        <v>12.283955730275997</v>
      </c>
      <c r="Y30" s="73">
        <f t="shared" ref="Y30" si="9">+Y31+Y33+Y32</f>
        <v>13.478940410206746</v>
      </c>
    </row>
    <row r="31" spans="1:25" ht="16.5" x14ac:dyDescent="0.45">
      <c r="B31" s="13" t="s">
        <v>87</v>
      </c>
      <c r="C31" s="12" t="s">
        <v>47</v>
      </c>
      <c r="D31" s="16">
        <v>104979.4302100541</v>
      </c>
      <c r="E31" s="16">
        <v>113680.70527676692</v>
      </c>
      <c r="F31" s="16">
        <v>131866.84981877761</v>
      </c>
      <c r="G31" s="16">
        <v>91897</v>
      </c>
      <c r="H31" s="16">
        <v>161549</v>
      </c>
      <c r="I31" s="16">
        <v>267304</v>
      </c>
      <c r="J31" s="16">
        <v>134419</v>
      </c>
      <c r="K31" s="16">
        <v>80388</v>
      </c>
      <c r="L31" s="16">
        <v>76427</v>
      </c>
      <c r="M31" s="12"/>
      <c r="N31" s="12"/>
      <c r="O31" s="83" t="s">
        <v>71</v>
      </c>
      <c r="P31" s="84"/>
      <c r="Q31" s="85">
        <f>+((D30/C8*C10)*D44+(D34/C9*C10)*D45)/C7</f>
        <v>13.629381954980724</v>
      </c>
      <c r="R31" s="85">
        <f>+((E30/C8*C10)*E44+(E34/C9*C10)*E45)/C7</f>
        <v>12.70808873367638</v>
      </c>
      <c r="S31" s="85">
        <f>+((F30/C8*C10)*F44+(F34/C9*C10)*F45)/C7</f>
        <v>12.203328895343168</v>
      </c>
      <c r="T31" s="85">
        <f>+((((G27/G29)*1000)*G44)+(((G31/G33)*1000)*G45))/C7</f>
        <v>10.164924100801411</v>
      </c>
      <c r="U31" s="85">
        <f>+(((H27/H29)*1000)/C7*H44)+(((H31/H33)*1000)/C7*H45)</f>
        <v>15.759427108313615</v>
      </c>
      <c r="V31" s="85">
        <f>+(((I27/I29)*1000)/C7*I44)+(((I31/I33)*1000)/C7*I45)</f>
        <v>18.355565229869903</v>
      </c>
      <c r="W31" s="85">
        <f>+(((J27/J29)*1000)/C7*J44)+(((J31/J33)*1000)/C7*J45)</f>
        <v>13.951585218404631</v>
      </c>
      <c r="X31" s="85">
        <f>+((K27*1000/K29)/C7*K44)+(((K31*1000/K33))/C7*K45)</f>
        <v>12.283955730275997</v>
      </c>
      <c r="Y31" s="85">
        <f>+((L27*1000/L29)/C7*L44)+(((L31*1000/L33))/C7*L45)</f>
        <v>13.478940410206746</v>
      </c>
    </row>
    <row r="32" spans="1:25" ht="16.5" x14ac:dyDescent="0.45">
      <c r="B32" s="76" t="s">
        <v>72</v>
      </c>
      <c r="C32" s="77" t="s">
        <v>91</v>
      </c>
      <c r="D32" s="16">
        <v>200539.90399999995</v>
      </c>
      <c r="E32" s="16">
        <v>225669.348</v>
      </c>
      <c r="F32" s="16">
        <v>279737.22200000013</v>
      </c>
      <c r="G32" s="16">
        <v>238020.93999999994</v>
      </c>
      <c r="H32" s="16">
        <v>260874.617</v>
      </c>
      <c r="I32" s="16">
        <v>389858</v>
      </c>
      <c r="J32" s="16">
        <v>231779.69</v>
      </c>
      <c r="K32" s="16">
        <v>168339.71</v>
      </c>
      <c r="L32" s="16">
        <v>143401.42000000001</v>
      </c>
      <c r="M32" s="12"/>
      <c r="N32" s="12"/>
      <c r="O32" s="24" t="s">
        <v>8</v>
      </c>
      <c r="P32" s="12"/>
      <c r="Q32" s="86">
        <f>IF('1. Total Cash Cost Evolution '!$C$10="Price",((28477.8928907343*1000)/(D29+D33)/$C$7),0)</f>
        <v>0</v>
      </c>
      <c r="R32" s="86">
        <f>IF('1. Total Cash Cost Evolution '!$C$10="Price",((32380.2666823791*1000)/(E29+E33)/$C$7),0)</f>
        <v>0</v>
      </c>
      <c r="S32" s="86">
        <f>IF('1. Total Cash Cost Evolution '!$C$10="Price",((34721.5*1000)/(F29+F33)/$C$7),0)</f>
        <v>0</v>
      </c>
      <c r="T32" s="86">
        <f>IF('1. Total Cash Cost Evolution '!$C$10="Price",((18062.1122628442*1000)/(G29+G33)/$C$7),0)</f>
        <v>0</v>
      </c>
      <c r="U32" s="86">
        <f>IF('1. Total Cash Cost Evolution '!$C$10="Price",((23367.0363433497*1000)/(H29+H33)/$C$7),0)</f>
        <v>0</v>
      </c>
      <c r="V32" s="86">
        <f>IF('1. Total Cash Cost Evolution '!$C$10="Price",((19780*1000)/(I29+I33)/$C$7),0)</f>
        <v>0</v>
      </c>
      <c r="W32" s="86">
        <f>IF('1. Total Cash Cost Evolution '!$C$10="Price",((22626*1000)/(J29+J33)/$C$7),0)</f>
        <v>0</v>
      </c>
      <c r="X32" s="86">
        <f>IF('1. Total Cash Cost Evolution '!$C$10="Price",((36992*1000)/(K29+K33)/$C$7),0)</f>
        <v>0</v>
      </c>
      <c r="Y32" s="86">
        <f>IF('1. Total Cash Cost Evolution '!$C$10="Price",((42178*1000)/(L29+L33)/$C$7),0)</f>
        <v>0</v>
      </c>
    </row>
    <row r="33" spans="1:25" ht="16.5" x14ac:dyDescent="0.45">
      <c r="B33" s="87" t="s">
        <v>92</v>
      </c>
      <c r="C33" s="77" t="s">
        <v>73</v>
      </c>
      <c r="D33" s="16">
        <f t="shared" ref="D33:I33" si="10">+D32*$C$9/$C$10</f>
        <v>338632.91356586618</v>
      </c>
      <c r="E33" s="16">
        <f t="shared" si="10"/>
        <v>381066.64704371954</v>
      </c>
      <c r="F33" s="16">
        <f t="shared" si="10"/>
        <v>472365.99115297064</v>
      </c>
      <c r="G33" s="16">
        <f t="shared" si="10"/>
        <v>401923.62115564902</v>
      </c>
      <c r="H33" s="16">
        <f t="shared" si="10"/>
        <v>440514.48050004785</v>
      </c>
      <c r="I33" s="16">
        <f t="shared" si="10"/>
        <v>658316.61322108482</v>
      </c>
      <c r="J33" s="16">
        <f t="shared" ref="J33:L33" si="11">+J32*$C$9/$C$10</f>
        <v>391384.60807328043</v>
      </c>
      <c r="K33" s="16">
        <f t="shared" si="11"/>
        <v>284259.4682110399</v>
      </c>
      <c r="L33" s="16">
        <f t="shared" si="11"/>
        <v>242148.51855161201</v>
      </c>
      <c r="M33" s="12"/>
      <c r="N33" s="12"/>
      <c r="O33" s="24" t="s">
        <v>77</v>
      </c>
      <c r="P33" s="12"/>
      <c r="Q33" s="86">
        <f t="shared" ref="Q33:Y33" si="12">+((D35*1000)/(D29+D33)/$C$7)</f>
        <v>4.9686965934713022E-2</v>
      </c>
      <c r="R33" s="86">
        <f t="shared" si="12"/>
        <v>1.0618268964199038E-2</v>
      </c>
      <c r="S33" s="86">
        <f t="shared" si="12"/>
        <v>-2.9811397462735333E-3</v>
      </c>
      <c r="T33" s="86">
        <f t="shared" si="12"/>
        <v>-3.944267690069099E-2</v>
      </c>
      <c r="U33" s="86">
        <f t="shared" si="12"/>
        <v>-0.19920784207525144</v>
      </c>
      <c r="V33" s="86">
        <f t="shared" si="12"/>
        <v>0</v>
      </c>
      <c r="W33" s="86">
        <f t="shared" si="12"/>
        <v>0</v>
      </c>
      <c r="X33" s="86">
        <f t="shared" si="12"/>
        <v>0</v>
      </c>
      <c r="Y33" s="86">
        <f t="shared" si="12"/>
        <v>0</v>
      </c>
    </row>
    <row r="34" spans="1:25" ht="16.5" x14ac:dyDescent="0.45">
      <c r="B34" s="79" t="s">
        <v>75</v>
      </c>
      <c r="C34" s="80" t="s">
        <v>86</v>
      </c>
      <c r="D34" s="81">
        <v>523.48399553464492</v>
      </c>
      <c r="E34" s="81">
        <v>503.7489862237158</v>
      </c>
      <c r="F34" s="81">
        <v>471.39543631693584</v>
      </c>
      <c r="G34" s="81">
        <v>386.08787949497224</v>
      </c>
      <c r="H34" s="81">
        <v>619.25917460954054</v>
      </c>
      <c r="I34" s="81">
        <v>685.644516721473</v>
      </c>
      <c r="J34" s="81">
        <v>579.9429622155418</v>
      </c>
      <c r="K34" s="81">
        <v>477.53438567762771</v>
      </c>
      <c r="L34" s="81">
        <v>532.95846024397804</v>
      </c>
      <c r="M34" s="12"/>
      <c r="N34" s="12"/>
      <c r="O34" s="70" t="s">
        <v>93</v>
      </c>
      <c r="P34" s="70"/>
      <c r="Q34" s="73">
        <f t="shared" ref="Q34:Y34" si="13">+Q25*D40+Q30*D41</f>
        <v>16.356836290669836</v>
      </c>
      <c r="R34" s="73">
        <f t="shared" si="13"/>
        <v>14.21338815681775</v>
      </c>
      <c r="S34" s="73">
        <f t="shared" si="13"/>
        <v>12.382915629871446</v>
      </c>
      <c r="T34" s="73">
        <f t="shared" si="13"/>
        <v>10.983005805549894</v>
      </c>
      <c r="U34" s="73">
        <f t="shared" si="13"/>
        <v>15.994038139719924</v>
      </c>
      <c r="V34" s="73">
        <f t="shared" si="13"/>
        <v>18.540298967590072</v>
      </c>
      <c r="W34" s="73">
        <f t="shared" si="13"/>
        <v>19.123413687866694</v>
      </c>
      <c r="X34" s="73">
        <f t="shared" si="13"/>
        <v>16.774355753800055</v>
      </c>
      <c r="Y34" s="73">
        <f t="shared" si="13"/>
        <v>15.397154056592335</v>
      </c>
    </row>
    <row r="35" spans="1:25" ht="16.5" x14ac:dyDescent="0.45">
      <c r="B35" s="70" t="s">
        <v>88</v>
      </c>
      <c r="C35" s="70" t="s">
        <v>47</v>
      </c>
      <c r="D35" s="69">
        <v>791.00285319262616</v>
      </c>
      <c r="E35" s="69">
        <v>243.76859076628</v>
      </c>
      <c r="F35" s="69">
        <v>-82.35</v>
      </c>
      <c r="G35" s="69">
        <v>-700.65695077047917</v>
      </c>
      <c r="H35" s="69">
        <v>-3432.4531398799327</v>
      </c>
      <c r="I35" s="69">
        <v>0</v>
      </c>
      <c r="J35" s="69">
        <v>0</v>
      </c>
      <c r="K35" s="69">
        <v>0</v>
      </c>
      <c r="L35" s="69">
        <v>0</v>
      </c>
      <c r="M35" s="12"/>
      <c r="N35" s="12"/>
      <c r="O35" s="12"/>
      <c r="P35" s="12"/>
      <c r="Q35" s="89"/>
      <c r="R35" s="89"/>
      <c r="S35" s="18"/>
      <c r="T35" s="12"/>
      <c r="U35" s="12"/>
      <c r="V35" s="12"/>
      <c r="W35" s="12"/>
      <c r="X35" s="12"/>
    </row>
    <row r="36" spans="1:25" ht="16.5" x14ac:dyDescent="0.45">
      <c r="B36" s="24" t="s">
        <v>109</v>
      </c>
      <c r="C36" s="77" t="s">
        <v>47</v>
      </c>
      <c r="D36" s="25">
        <v>791.00285319262616</v>
      </c>
      <c r="E36" s="25">
        <v>243.76859076628</v>
      </c>
      <c r="F36" s="25">
        <v>-82.35</v>
      </c>
      <c r="G36" s="25">
        <v>-681.35357581215362</v>
      </c>
      <c r="H36" s="25">
        <v>-3432.4531398799327</v>
      </c>
      <c r="I36" s="25">
        <v>0</v>
      </c>
      <c r="J36" s="25">
        <v>0</v>
      </c>
      <c r="K36" s="25">
        <v>0</v>
      </c>
      <c r="L36" s="25">
        <v>0</v>
      </c>
      <c r="M36" s="12"/>
      <c r="N36" s="12"/>
      <c r="O36" s="12"/>
      <c r="P36" s="12"/>
      <c r="Q36" s="16"/>
      <c r="R36" s="16"/>
      <c r="S36" s="90"/>
      <c r="T36" s="12"/>
      <c r="U36" s="12"/>
      <c r="V36" s="12"/>
      <c r="W36" s="127"/>
      <c r="X36" s="12"/>
    </row>
    <row r="37" spans="1:25" ht="16.5" x14ac:dyDescent="0.45">
      <c r="B37" s="91" t="s">
        <v>108</v>
      </c>
      <c r="C37" s="92" t="s">
        <v>47</v>
      </c>
      <c r="D37" s="93">
        <v>0</v>
      </c>
      <c r="E37" s="93">
        <v>0</v>
      </c>
      <c r="F37" s="93">
        <v>0</v>
      </c>
      <c r="G37" s="93">
        <v>-19.303374958325566</v>
      </c>
      <c r="H37" s="93">
        <v>0</v>
      </c>
      <c r="I37" s="93">
        <v>0</v>
      </c>
      <c r="J37" s="93">
        <v>0</v>
      </c>
      <c r="K37" s="93">
        <v>0</v>
      </c>
      <c r="L37" s="93">
        <v>0</v>
      </c>
      <c r="M37" s="12"/>
      <c r="N37" s="12"/>
      <c r="O37" s="57"/>
      <c r="P37" s="12"/>
      <c r="Q37" s="16"/>
      <c r="R37" s="16"/>
      <c r="S37" s="16"/>
      <c r="T37" s="12"/>
      <c r="U37" s="12"/>
      <c r="V37" s="12"/>
      <c r="W37" s="12"/>
      <c r="X37" s="12"/>
    </row>
    <row r="38" spans="1:25" ht="16.5" x14ac:dyDescent="0.45">
      <c r="B38" s="12"/>
      <c r="C38" s="12"/>
      <c r="D38" s="12"/>
      <c r="E38" s="12"/>
      <c r="F38" s="12"/>
      <c r="G38" s="12"/>
      <c r="H38" s="12"/>
      <c r="I38" s="12"/>
      <c r="J38" s="12"/>
      <c r="K38" s="12"/>
      <c r="L38" s="12"/>
      <c r="M38" s="12"/>
      <c r="N38" s="12"/>
      <c r="O38" s="12"/>
      <c r="P38" s="12"/>
      <c r="Q38" s="16"/>
      <c r="R38" s="16"/>
      <c r="S38" s="12"/>
      <c r="T38" s="12"/>
      <c r="U38" s="12"/>
      <c r="V38" s="12"/>
      <c r="W38" s="12"/>
      <c r="X38" s="12"/>
    </row>
    <row r="39" spans="1:25" ht="16.5" x14ac:dyDescent="0.45">
      <c r="A39" s="1" t="s">
        <v>2</v>
      </c>
      <c r="B39" s="71" t="s">
        <v>89</v>
      </c>
      <c r="C39" s="71"/>
      <c r="D39" s="71"/>
      <c r="E39" s="71"/>
      <c r="F39" s="71"/>
      <c r="G39" s="71"/>
      <c r="H39" s="71"/>
      <c r="I39" s="71"/>
      <c r="J39" s="71"/>
      <c r="K39" s="71"/>
      <c r="L39" s="71"/>
      <c r="M39" s="12"/>
      <c r="N39" s="12"/>
      <c r="O39" s="12"/>
      <c r="P39" s="12"/>
      <c r="Q39" s="16"/>
      <c r="R39" s="16"/>
      <c r="S39" s="12"/>
      <c r="T39" s="12"/>
      <c r="U39" s="12"/>
      <c r="V39" s="12"/>
      <c r="W39" s="12"/>
      <c r="X39" s="12"/>
    </row>
    <row r="40" spans="1:25" ht="16.5" x14ac:dyDescent="0.45">
      <c r="B40" s="24" t="s">
        <v>82</v>
      </c>
      <c r="C40" s="94" t="s">
        <v>49</v>
      </c>
      <c r="D40" s="95">
        <v>0.53251798851335663</v>
      </c>
      <c r="E40" s="95">
        <v>0.30244890809097563</v>
      </c>
      <c r="F40" s="95">
        <v>0.2121723675693184</v>
      </c>
      <c r="G40" s="95">
        <v>0.44308555399033439</v>
      </c>
      <c r="H40" s="95">
        <v>0.40748687042213044</v>
      </c>
      <c r="I40" s="95">
        <v>0.3191684596133435</v>
      </c>
      <c r="J40" s="95">
        <v>0.51216050696003146</v>
      </c>
      <c r="K40" s="95">
        <f t="shared" ref="K40:L40" si="14">+(K16+K19)/(K16+K19+K33+K29)</f>
        <v>0.48538172455614309</v>
      </c>
      <c r="L40" s="95">
        <f t="shared" si="14"/>
        <v>0.38613189409856202</v>
      </c>
      <c r="M40" s="12"/>
      <c r="N40" s="12"/>
      <c r="O40" s="12"/>
      <c r="P40" s="12"/>
      <c r="Q40" s="16"/>
      <c r="R40" s="16"/>
      <c r="S40" s="12"/>
      <c r="T40" s="12"/>
      <c r="U40" s="12"/>
      <c r="V40" s="12"/>
      <c r="W40" s="12"/>
      <c r="X40" s="12"/>
    </row>
    <row r="41" spans="1:25" ht="16.5" x14ac:dyDescent="0.45">
      <c r="B41" s="96" t="s">
        <v>44</v>
      </c>
      <c r="C41" s="97" t="s">
        <v>49</v>
      </c>
      <c r="D41" s="98">
        <v>0.46748201148664342</v>
      </c>
      <c r="E41" s="98">
        <v>0.69755109190902431</v>
      </c>
      <c r="F41" s="98">
        <v>0.78782763243068166</v>
      </c>
      <c r="G41" s="98">
        <v>0.55691444600966555</v>
      </c>
      <c r="H41" s="98">
        <v>0.59251312957786961</v>
      </c>
      <c r="I41" s="98">
        <v>0.6808315403866565</v>
      </c>
      <c r="J41" s="98">
        <v>0.48783949303996865</v>
      </c>
      <c r="K41" s="98">
        <f t="shared" ref="K41:L41" si="15">+(K33+K29)/(K16+K19+K33+K29)</f>
        <v>0.51461827544385708</v>
      </c>
      <c r="L41" s="98">
        <f t="shared" si="15"/>
        <v>0.61386810590143803</v>
      </c>
      <c r="M41" s="12"/>
      <c r="N41" s="12"/>
      <c r="O41" s="12"/>
      <c r="P41" s="12"/>
      <c r="Q41" s="16"/>
      <c r="R41" s="16"/>
      <c r="S41" s="12"/>
      <c r="T41" s="12"/>
      <c r="U41" s="12"/>
      <c r="V41" s="12"/>
      <c r="W41" s="12"/>
      <c r="X41" s="12"/>
    </row>
    <row r="42" spans="1:25" ht="16.5" x14ac:dyDescent="0.45">
      <c r="B42" s="12"/>
      <c r="C42" s="12"/>
      <c r="D42" s="12"/>
      <c r="E42" s="12"/>
      <c r="F42" s="12"/>
      <c r="G42" s="12"/>
      <c r="H42" s="12"/>
      <c r="I42" s="12"/>
      <c r="J42" s="12"/>
      <c r="K42" s="12"/>
      <c r="L42" s="12"/>
      <c r="M42" s="12"/>
      <c r="N42" s="12"/>
      <c r="O42" s="12"/>
      <c r="P42" s="12"/>
      <c r="Q42" s="16"/>
      <c r="R42" s="16"/>
      <c r="S42" s="12"/>
      <c r="T42" s="12"/>
      <c r="U42" s="12"/>
      <c r="V42" s="12"/>
      <c r="W42" s="12"/>
      <c r="X42" s="12"/>
    </row>
    <row r="43" spans="1:25" ht="16.5" x14ac:dyDescent="0.45">
      <c r="A43" s="1" t="s">
        <v>2</v>
      </c>
      <c r="B43" s="71" t="s">
        <v>90</v>
      </c>
      <c r="C43" s="71"/>
      <c r="D43" s="71"/>
      <c r="E43" s="71"/>
      <c r="F43" s="71"/>
      <c r="G43" s="71"/>
      <c r="H43" s="71"/>
      <c r="I43" s="71"/>
      <c r="J43" s="71"/>
      <c r="K43" s="71"/>
      <c r="L43" s="71"/>
      <c r="M43" s="12"/>
      <c r="N43" s="12"/>
      <c r="O43" s="12"/>
      <c r="P43" s="12"/>
      <c r="Q43" s="16"/>
      <c r="R43" s="16"/>
      <c r="S43" s="12"/>
      <c r="T43" s="12"/>
      <c r="U43" s="12"/>
      <c r="V43" s="12"/>
      <c r="W43" s="12"/>
      <c r="X43" s="12"/>
    </row>
    <row r="44" spans="1:25" ht="16.5" x14ac:dyDescent="0.45">
      <c r="B44" s="14" t="s">
        <v>85</v>
      </c>
      <c r="C44" s="99" t="s">
        <v>49</v>
      </c>
      <c r="D44" s="100">
        <f t="shared" ref="D44:K44" si="16">+D29/(D29+D33)</f>
        <v>0.53104913836791812</v>
      </c>
      <c r="E44" s="100">
        <f t="shared" si="16"/>
        <v>0.63405934848580581</v>
      </c>
      <c r="F44" s="100">
        <f t="shared" si="16"/>
        <v>0.62300890084345928</v>
      </c>
      <c r="G44" s="100">
        <f t="shared" si="16"/>
        <v>0.50118647474684441</v>
      </c>
      <c r="H44" s="100">
        <f t="shared" si="16"/>
        <v>0.4363678650408821</v>
      </c>
      <c r="I44" s="100">
        <f t="shared" si="16"/>
        <v>0.28333193051026201</v>
      </c>
      <c r="J44" s="100">
        <f t="shared" si="16"/>
        <v>0.48399076783172751</v>
      </c>
      <c r="K44" s="100">
        <f t="shared" si="16"/>
        <v>0.68301284518855587</v>
      </c>
      <c r="L44" s="100">
        <f t="shared" ref="L44" si="17">+L29/(L29+L33)</f>
        <v>0.76753888029974571</v>
      </c>
      <c r="M44" s="12"/>
      <c r="N44" s="12"/>
      <c r="O44" s="12"/>
      <c r="P44" s="12"/>
      <c r="Q44" s="16"/>
      <c r="R44" s="16"/>
      <c r="S44" s="12"/>
      <c r="T44" s="12"/>
      <c r="U44" s="12"/>
      <c r="V44" s="12"/>
      <c r="W44" s="12"/>
      <c r="X44" s="12"/>
    </row>
    <row r="45" spans="1:25" ht="16.5" x14ac:dyDescent="0.45">
      <c r="B45" s="101" t="s">
        <v>87</v>
      </c>
      <c r="C45" s="97" t="s">
        <v>49</v>
      </c>
      <c r="D45" s="102">
        <f t="shared" ref="D45:K45" si="18">+D33/(D29+D33)</f>
        <v>0.46895086163208183</v>
      </c>
      <c r="E45" s="102">
        <f t="shared" si="18"/>
        <v>0.36594065151419419</v>
      </c>
      <c r="F45" s="102">
        <f t="shared" si="18"/>
        <v>0.37699109915654072</v>
      </c>
      <c r="G45" s="102">
        <f t="shared" si="18"/>
        <v>0.49881352525315553</v>
      </c>
      <c r="H45" s="102">
        <f t="shared" si="18"/>
        <v>0.5636321349591179</v>
      </c>
      <c r="I45" s="102">
        <f t="shared" si="18"/>
        <v>0.71666806948973805</v>
      </c>
      <c r="J45" s="102">
        <f t="shared" si="18"/>
        <v>0.51600923216827244</v>
      </c>
      <c r="K45" s="102">
        <f t="shared" si="18"/>
        <v>0.31698715481144418</v>
      </c>
      <c r="L45" s="102">
        <f t="shared" ref="L45" si="19">+L33/(L29+L33)</f>
        <v>0.23246111970025424</v>
      </c>
      <c r="M45" s="12"/>
      <c r="N45" s="12"/>
      <c r="O45" s="12"/>
      <c r="P45" s="12"/>
      <c r="Q45" s="16"/>
      <c r="R45" s="16"/>
      <c r="S45" s="12"/>
      <c r="T45" s="12"/>
      <c r="U45" s="12"/>
      <c r="V45" s="12"/>
      <c r="W45" s="12"/>
      <c r="X45" s="12"/>
    </row>
    <row r="46" spans="1:25" ht="16.5" x14ac:dyDescent="0.45">
      <c r="B46" s="12"/>
      <c r="C46" s="12"/>
      <c r="D46" s="12"/>
      <c r="E46" s="12"/>
      <c r="F46" s="12"/>
      <c r="G46" s="12"/>
      <c r="H46" s="12"/>
      <c r="I46" s="12"/>
      <c r="J46" s="12"/>
      <c r="K46" s="12"/>
      <c r="L46" s="12"/>
      <c r="M46" s="12"/>
      <c r="N46" s="12"/>
      <c r="O46" s="12"/>
      <c r="P46" s="12"/>
      <c r="Q46" s="16"/>
      <c r="R46" s="16"/>
      <c r="S46" s="12"/>
      <c r="T46" s="12"/>
      <c r="U46" s="12"/>
      <c r="V46" s="12"/>
      <c r="W46" s="12"/>
      <c r="X46" s="12"/>
    </row>
    <row r="47" spans="1:25" ht="16.5" x14ac:dyDescent="0.45">
      <c r="B47" s="12"/>
      <c r="C47" s="12"/>
      <c r="D47" s="12"/>
      <c r="E47" s="12"/>
      <c r="F47" s="12"/>
      <c r="G47" s="12"/>
      <c r="H47" s="12"/>
      <c r="I47" s="12"/>
      <c r="J47" s="12"/>
      <c r="K47" s="12"/>
      <c r="L47" s="12"/>
      <c r="M47" s="12"/>
      <c r="N47" s="12"/>
      <c r="O47" s="12"/>
      <c r="P47" s="12"/>
      <c r="Q47" s="16"/>
      <c r="R47" s="16"/>
      <c r="S47" s="12"/>
      <c r="T47" s="12"/>
      <c r="U47" s="12"/>
      <c r="V47" s="12"/>
      <c r="W47" s="12"/>
      <c r="X47" s="12"/>
    </row>
    <row r="48" spans="1:25" ht="16.5" x14ac:dyDescent="0.45">
      <c r="B48" s="12"/>
      <c r="C48" s="12"/>
      <c r="D48" s="12"/>
      <c r="E48" s="12"/>
      <c r="F48" s="12"/>
      <c r="G48" s="12"/>
      <c r="H48" s="12"/>
      <c r="I48" s="12"/>
      <c r="J48" s="12"/>
      <c r="K48" s="12"/>
      <c r="L48" s="12"/>
      <c r="M48" s="12"/>
      <c r="N48" s="12"/>
      <c r="O48" s="12"/>
      <c r="P48" s="12"/>
      <c r="Q48" s="16"/>
      <c r="R48" s="16"/>
      <c r="S48" s="12"/>
      <c r="T48" s="12"/>
      <c r="U48" s="12"/>
      <c r="V48" s="12"/>
      <c r="W48" s="12"/>
      <c r="X48" s="12"/>
    </row>
    <row r="49" spans="2:24" ht="16.5" x14ac:dyDescent="0.45">
      <c r="B49" s="12"/>
      <c r="C49" s="12"/>
      <c r="D49" s="12"/>
      <c r="E49" s="12"/>
      <c r="F49" s="12"/>
      <c r="G49" s="12"/>
      <c r="H49" s="12"/>
      <c r="I49" s="12"/>
      <c r="J49" s="12"/>
      <c r="K49" s="12"/>
      <c r="L49" s="12"/>
      <c r="M49" s="12"/>
      <c r="N49" s="12"/>
      <c r="O49" s="12"/>
      <c r="P49" s="12"/>
      <c r="Q49" s="16"/>
      <c r="R49" s="16"/>
      <c r="S49" s="12"/>
      <c r="T49" s="12"/>
      <c r="U49" s="12"/>
      <c r="V49" s="12"/>
      <c r="W49" s="12"/>
      <c r="X49" s="12"/>
    </row>
    <row r="50" spans="2:24" ht="16.5" x14ac:dyDescent="0.45">
      <c r="B50" s="12"/>
      <c r="C50" s="12"/>
      <c r="D50" s="12"/>
      <c r="E50" s="12"/>
      <c r="F50" s="12"/>
      <c r="G50" s="12"/>
      <c r="H50" s="12"/>
      <c r="I50" s="12"/>
      <c r="J50" s="12"/>
      <c r="K50" s="12"/>
      <c r="L50" s="12"/>
      <c r="M50" s="12"/>
      <c r="N50" s="12"/>
      <c r="O50" s="12"/>
      <c r="P50" s="12"/>
      <c r="Q50" s="16"/>
      <c r="R50" s="16"/>
      <c r="S50" s="12"/>
      <c r="T50" s="12"/>
      <c r="U50" s="12"/>
      <c r="V50" s="12"/>
      <c r="W50" s="12"/>
      <c r="X50" s="12"/>
    </row>
    <row r="51" spans="2:24" ht="16.5" x14ac:dyDescent="0.45">
      <c r="B51" s="12"/>
      <c r="C51" s="12"/>
      <c r="D51" s="12"/>
      <c r="E51" s="12"/>
      <c r="F51" s="12"/>
      <c r="G51" s="12"/>
      <c r="H51" s="12"/>
      <c r="I51" s="12"/>
      <c r="J51" s="12"/>
      <c r="K51" s="12"/>
      <c r="L51" s="12"/>
      <c r="M51" s="12"/>
      <c r="N51" s="12"/>
      <c r="O51" s="12"/>
      <c r="P51" s="12"/>
      <c r="Q51" s="16"/>
      <c r="R51" s="16"/>
      <c r="S51" s="12"/>
      <c r="T51" s="12"/>
      <c r="U51" s="12"/>
      <c r="V51" s="12"/>
      <c r="W51" s="12"/>
      <c r="X51" s="12"/>
    </row>
    <row r="52" spans="2:24" ht="16.5" x14ac:dyDescent="0.45">
      <c r="B52" s="12"/>
      <c r="C52" s="12"/>
      <c r="D52" s="12"/>
      <c r="E52" s="12"/>
      <c r="F52" s="12"/>
      <c r="G52" s="12"/>
      <c r="H52" s="12"/>
      <c r="I52" s="12"/>
      <c r="J52" s="12"/>
      <c r="K52" s="12"/>
      <c r="L52" s="12"/>
      <c r="M52" s="12"/>
      <c r="N52" s="12"/>
      <c r="O52" s="12"/>
      <c r="P52" s="12"/>
      <c r="Q52" s="16"/>
      <c r="R52" s="16"/>
      <c r="S52" s="12"/>
      <c r="T52" s="12"/>
      <c r="U52" s="12"/>
      <c r="V52" s="12"/>
      <c r="W52" s="12"/>
      <c r="X52" s="12"/>
    </row>
    <row r="53" spans="2:24" ht="16.5" x14ac:dyDescent="0.45">
      <c r="B53" s="12"/>
      <c r="C53" s="12"/>
      <c r="D53" s="12"/>
      <c r="E53" s="12"/>
      <c r="F53" s="12"/>
      <c r="G53" s="12"/>
      <c r="H53" s="12"/>
      <c r="I53" s="12"/>
      <c r="J53" s="12"/>
      <c r="K53" s="12"/>
      <c r="L53" s="12"/>
      <c r="M53" s="12"/>
      <c r="N53" s="12"/>
      <c r="O53" s="12"/>
      <c r="P53" s="12"/>
      <c r="Q53" s="16"/>
      <c r="R53" s="16"/>
      <c r="S53" s="12"/>
      <c r="T53" s="12"/>
      <c r="U53" s="12"/>
      <c r="V53" s="12"/>
      <c r="W53" s="12"/>
      <c r="X53" s="12"/>
    </row>
    <row r="54" spans="2:24" ht="16.5" x14ac:dyDescent="0.45">
      <c r="B54" s="12"/>
      <c r="C54" s="12"/>
      <c r="D54" s="12"/>
      <c r="E54" s="12"/>
      <c r="F54" s="12"/>
      <c r="G54" s="12"/>
      <c r="H54" s="12"/>
      <c r="I54" s="12"/>
      <c r="J54" s="12"/>
      <c r="K54" s="12"/>
      <c r="L54" s="12"/>
      <c r="M54" s="12"/>
      <c r="N54" s="12"/>
      <c r="O54" s="12"/>
      <c r="P54" s="12"/>
      <c r="Q54" s="16"/>
      <c r="R54" s="16"/>
      <c r="S54" s="12"/>
      <c r="T54" s="12"/>
      <c r="U54" s="12"/>
      <c r="V54" s="12"/>
      <c r="W54" s="12"/>
      <c r="X54" s="12"/>
    </row>
    <row r="55" spans="2:24" ht="16.5" x14ac:dyDescent="0.45">
      <c r="B55" s="12"/>
      <c r="C55" s="12"/>
      <c r="D55" s="12"/>
      <c r="E55" s="12"/>
      <c r="F55" s="12"/>
      <c r="G55" s="12"/>
      <c r="H55" s="12"/>
      <c r="I55" s="12"/>
      <c r="J55" s="12"/>
      <c r="K55" s="12"/>
      <c r="L55" s="12"/>
      <c r="M55" s="12"/>
      <c r="N55" s="12"/>
      <c r="O55" s="12"/>
      <c r="P55" s="12"/>
      <c r="Q55" s="16"/>
      <c r="R55" s="16"/>
      <c r="S55" s="12"/>
      <c r="T55" s="12"/>
      <c r="U55" s="12"/>
      <c r="V55" s="12"/>
      <c r="W55" s="12"/>
      <c r="X55" s="12"/>
    </row>
    <row r="56" spans="2:24" ht="16.5" x14ac:dyDescent="0.45">
      <c r="B56" s="12"/>
      <c r="C56" s="12"/>
      <c r="D56" s="12"/>
      <c r="E56" s="12"/>
      <c r="F56" s="12"/>
      <c r="G56" s="12"/>
      <c r="H56" s="12"/>
      <c r="I56" s="12"/>
      <c r="J56" s="12"/>
      <c r="K56" s="12"/>
      <c r="L56" s="12"/>
      <c r="M56" s="12"/>
      <c r="N56" s="12"/>
      <c r="O56" s="12"/>
      <c r="P56" s="12"/>
      <c r="Q56" s="16"/>
      <c r="R56" s="16"/>
      <c r="S56" s="12"/>
      <c r="T56" s="12"/>
      <c r="U56" s="12"/>
      <c r="V56" s="12"/>
      <c r="W56" s="12"/>
      <c r="X56" s="12"/>
    </row>
    <row r="57" spans="2:24" ht="16.5" x14ac:dyDescent="0.45">
      <c r="B57" s="12"/>
      <c r="C57" s="12"/>
      <c r="D57" s="12"/>
      <c r="E57" s="12"/>
      <c r="F57" s="12"/>
      <c r="G57" s="12"/>
      <c r="H57" s="12"/>
      <c r="I57" s="12"/>
      <c r="J57" s="12"/>
      <c r="K57" s="12"/>
      <c r="L57" s="12"/>
      <c r="M57" s="12"/>
      <c r="N57" s="12"/>
      <c r="O57" s="12"/>
      <c r="P57" s="12"/>
      <c r="Q57" s="16"/>
      <c r="R57" s="16"/>
      <c r="S57" s="12"/>
      <c r="T57" s="12"/>
      <c r="U57" s="12"/>
      <c r="V57" s="12"/>
      <c r="W57" s="12"/>
      <c r="X57" s="12"/>
    </row>
    <row r="58" spans="2:24" ht="16.5" x14ac:dyDescent="0.45">
      <c r="B58" s="12"/>
      <c r="C58" s="12"/>
      <c r="D58" s="12"/>
      <c r="E58" s="12"/>
      <c r="F58" s="12"/>
      <c r="G58" s="12"/>
      <c r="H58" s="12"/>
      <c r="I58" s="12"/>
      <c r="J58" s="12"/>
      <c r="K58" s="12"/>
      <c r="L58" s="12"/>
      <c r="M58" s="12"/>
      <c r="N58" s="12"/>
      <c r="O58" s="12"/>
      <c r="P58" s="12"/>
      <c r="Q58" s="16"/>
      <c r="R58" s="16"/>
      <c r="S58" s="12"/>
      <c r="T58" s="12"/>
      <c r="U58" s="12"/>
      <c r="V58" s="12"/>
      <c r="W58" s="12"/>
      <c r="X58" s="12"/>
    </row>
    <row r="59" spans="2:24" ht="16.5" x14ac:dyDescent="0.45">
      <c r="B59" s="12"/>
      <c r="C59" s="12"/>
      <c r="D59" s="12"/>
      <c r="E59" s="12"/>
      <c r="F59" s="12"/>
      <c r="G59" s="12"/>
      <c r="H59" s="12"/>
      <c r="I59" s="12"/>
      <c r="J59" s="12"/>
      <c r="K59" s="12"/>
      <c r="L59" s="12"/>
      <c r="M59" s="12"/>
      <c r="N59" s="12"/>
      <c r="O59" s="12"/>
      <c r="P59" s="12"/>
      <c r="Q59" s="16"/>
      <c r="R59" s="16"/>
      <c r="S59" s="12"/>
      <c r="T59" s="12"/>
      <c r="U59" s="12"/>
      <c r="V59" s="12"/>
      <c r="W59" s="12"/>
      <c r="X59" s="12"/>
    </row>
    <row r="60" spans="2:24" ht="16.5" x14ac:dyDescent="0.45">
      <c r="B60" s="12"/>
      <c r="C60" s="12"/>
      <c r="D60" s="12"/>
      <c r="E60" s="12"/>
      <c r="F60" s="12"/>
      <c r="G60" s="12"/>
      <c r="H60" s="12"/>
      <c r="I60" s="12"/>
      <c r="J60" s="12"/>
      <c r="K60" s="12"/>
      <c r="L60" s="12"/>
      <c r="M60" s="12"/>
      <c r="N60" s="12"/>
      <c r="O60" s="12"/>
      <c r="P60" s="12"/>
      <c r="Q60" s="16"/>
      <c r="R60" s="16"/>
      <c r="S60" s="12"/>
      <c r="T60" s="12"/>
      <c r="U60" s="12"/>
      <c r="V60" s="12"/>
      <c r="W60" s="12"/>
      <c r="X60" s="12"/>
    </row>
    <row r="61" spans="2:24" ht="16.5" x14ac:dyDescent="0.45">
      <c r="B61" s="12"/>
      <c r="C61" s="12"/>
      <c r="D61" s="12"/>
      <c r="E61" s="12"/>
      <c r="F61" s="12"/>
      <c r="G61" s="12"/>
      <c r="H61" s="12"/>
      <c r="I61" s="12"/>
      <c r="J61" s="12"/>
      <c r="K61" s="12"/>
      <c r="L61" s="12"/>
      <c r="M61" s="12"/>
      <c r="N61" s="12"/>
      <c r="O61" s="12"/>
      <c r="P61" s="12"/>
      <c r="Q61" s="12"/>
      <c r="R61" s="12"/>
      <c r="S61" s="12"/>
      <c r="T61" s="12"/>
      <c r="U61" s="12"/>
      <c r="V61" s="12"/>
      <c r="W61" s="12"/>
      <c r="X61" s="12"/>
    </row>
    <row r="62" spans="2:24" ht="16.5" x14ac:dyDescent="0.45">
      <c r="B62" s="12"/>
      <c r="C62" s="12"/>
      <c r="D62" s="12"/>
      <c r="E62" s="12"/>
      <c r="F62" s="12"/>
      <c r="G62" s="12"/>
      <c r="H62" s="12"/>
      <c r="I62" s="12"/>
      <c r="J62" s="12"/>
      <c r="K62" s="12"/>
      <c r="L62" s="12"/>
      <c r="M62" s="12"/>
      <c r="N62" s="12"/>
      <c r="O62" s="12"/>
      <c r="P62" s="12"/>
      <c r="Q62" s="12"/>
      <c r="R62" s="12"/>
      <c r="S62" s="12"/>
      <c r="T62" s="12"/>
      <c r="U62" s="12"/>
      <c r="V62" s="12"/>
      <c r="W62" s="12"/>
      <c r="X62" s="12"/>
    </row>
    <row r="63" spans="2:24" ht="16.5" x14ac:dyDescent="0.45">
      <c r="B63" s="12"/>
      <c r="C63" s="12"/>
      <c r="D63" s="12"/>
      <c r="E63" s="12"/>
      <c r="F63" s="12"/>
      <c r="G63" s="12"/>
      <c r="H63" s="12"/>
      <c r="I63" s="12"/>
      <c r="J63" s="12"/>
      <c r="K63" s="12"/>
      <c r="L63" s="12"/>
      <c r="M63" s="12"/>
      <c r="N63" s="12"/>
      <c r="O63" s="12"/>
      <c r="P63" s="12"/>
      <c r="Q63" s="12"/>
      <c r="R63" s="12"/>
      <c r="S63" s="12"/>
      <c r="T63" s="12"/>
      <c r="U63" s="12"/>
      <c r="V63" s="12"/>
      <c r="W63" s="12"/>
      <c r="X63" s="12"/>
    </row>
    <row r="64" spans="2:24" ht="16.5" x14ac:dyDescent="0.45">
      <c r="B64" s="12"/>
      <c r="C64" s="12"/>
      <c r="D64" s="12"/>
      <c r="E64" s="12"/>
      <c r="F64" s="12"/>
      <c r="G64" s="12"/>
      <c r="H64" s="12"/>
      <c r="I64" s="12"/>
      <c r="J64" s="12"/>
      <c r="K64" s="12"/>
      <c r="L64" s="12"/>
      <c r="M64" s="12"/>
      <c r="N64" s="12"/>
      <c r="O64" s="12"/>
      <c r="P64" s="12"/>
      <c r="Q64" s="12"/>
      <c r="R64" s="12"/>
      <c r="S64" s="12"/>
      <c r="T64" s="12"/>
      <c r="U64" s="12"/>
      <c r="V64" s="12"/>
      <c r="W64" s="12"/>
      <c r="X64" s="12"/>
    </row>
    <row r="65" spans="4:10" ht="16.5" x14ac:dyDescent="0.45">
      <c r="D65" s="12"/>
      <c r="E65" s="12"/>
      <c r="F65" s="12"/>
      <c r="G65" s="12"/>
      <c r="H65" s="12"/>
      <c r="I65" s="12"/>
      <c r="J65" s="12"/>
    </row>
    <row r="66" spans="4:10" ht="16.5" x14ac:dyDescent="0.45">
      <c r="D66" s="12"/>
      <c r="E66" s="12"/>
      <c r="F66" s="12"/>
      <c r="G66" s="12"/>
      <c r="H66" s="12"/>
      <c r="I66" s="12"/>
      <c r="J66" s="12"/>
    </row>
    <row r="67" spans="4:10" ht="16.5" x14ac:dyDescent="0.45">
      <c r="D67" s="12"/>
      <c r="E67" s="12"/>
      <c r="F67" s="12"/>
      <c r="G67" s="12"/>
      <c r="H67" s="12"/>
      <c r="I67" s="12"/>
      <c r="J67" s="12"/>
    </row>
    <row r="68" spans="4:10" ht="16.5" x14ac:dyDescent="0.45">
      <c r="D68" s="12"/>
      <c r="E68" s="12"/>
      <c r="F68" s="12"/>
      <c r="G68" s="12"/>
      <c r="H68" s="12"/>
      <c r="I68" s="12"/>
      <c r="J68" s="12"/>
    </row>
    <row r="69" spans="4:10" ht="16.5" x14ac:dyDescent="0.45">
      <c r="D69" s="12"/>
      <c r="E69" s="12"/>
      <c r="F69" s="12"/>
      <c r="G69" s="12"/>
      <c r="H69" s="12"/>
      <c r="I69" s="12"/>
      <c r="J69" s="12"/>
    </row>
    <row r="70" spans="4:10" ht="16.5" x14ac:dyDescent="0.45">
      <c r="D70" s="12"/>
      <c r="E70" s="12"/>
      <c r="F70" s="12"/>
      <c r="G70" s="12"/>
      <c r="H70" s="12"/>
      <c r="I70" s="12"/>
      <c r="J70" s="12"/>
    </row>
    <row r="71" spans="4:10" ht="16.5" x14ac:dyDescent="0.45">
      <c r="D71" s="12"/>
      <c r="E71" s="12"/>
      <c r="F71" s="12"/>
      <c r="G71" s="12"/>
      <c r="H71" s="12"/>
      <c r="I71" s="12"/>
      <c r="J71" s="12"/>
    </row>
    <row r="72" spans="4:10" ht="16.5" x14ac:dyDescent="0.45">
      <c r="D72" s="12"/>
      <c r="E72" s="12"/>
      <c r="F72" s="12"/>
      <c r="G72" s="12"/>
      <c r="H72" s="12"/>
      <c r="I72" s="12"/>
      <c r="J72" s="12"/>
    </row>
    <row r="73" spans="4:10" ht="16.5" x14ac:dyDescent="0.45">
      <c r="D73" s="12"/>
      <c r="E73" s="12"/>
      <c r="F73" s="12"/>
      <c r="G73" s="12"/>
      <c r="H73" s="12"/>
      <c r="I73" s="12"/>
      <c r="J73" s="12"/>
    </row>
    <row r="74" spans="4:10" ht="16.5" x14ac:dyDescent="0.45">
      <c r="D74" s="12"/>
      <c r="E74" s="12"/>
      <c r="F74" s="12"/>
      <c r="G74" s="12"/>
      <c r="H74" s="12"/>
      <c r="I74" s="12"/>
      <c r="J74" s="12"/>
    </row>
    <row r="75" spans="4:10" ht="16.5" x14ac:dyDescent="0.45">
      <c r="D75" s="12"/>
      <c r="E75" s="12"/>
      <c r="F75" s="12"/>
      <c r="G75" s="12"/>
      <c r="H75" s="12"/>
      <c r="I75" s="12"/>
      <c r="J75" s="12"/>
    </row>
    <row r="76" spans="4:10" ht="16.5" x14ac:dyDescent="0.45">
      <c r="D76" s="12"/>
      <c r="E76" s="12"/>
      <c r="F76" s="12"/>
      <c r="G76" s="12"/>
      <c r="H76" s="12"/>
      <c r="I76" s="12"/>
      <c r="J76" s="12"/>
    </row>
    <row r="77" spans="4:10" ht="16.5" x14ac:dyDescent="0.45">
      <c r="D77" s="12"/>
      <c r="E77" s="12"/>
      <c r="F77" s="12"/>
      <c r="G77" s="12"/>
      <c r="H77" s="12"/>
      <c r="I77" s="12"/>
      <c r="J77" s="12"/>
    </row>
    <row r="78" spans="4:10" ht="16.5" x14ac:dyDescent="0.45">
      <c r="D78" s="12"/>
      <c r="E78" s="12"/>
      <c r="F78" s="12"/>
      <c r="G78" s="12"/>
      <c r="H78" s="12"/>
      <c r="I78" s="12"/>
      <c r="J78" s="12"/>
    </row>
    <row r="79" spans="4:10" ht="16.5" x14ac:dyDescent="0.45">
      <c r="D79" s="12"/>
      <c r="E79" s="12"/>
      <c r="F79" s="12"/>
      <c r="G79" s="12"/>
      <c r="H79" s="12"/>
      <c r="I79" s="12"/>
      <c r="J79" s="12"/>
    </row>
    <row r="80" spans="4:10" ht="16.5" x14ac:dyDescent="0.45">
      <c r="D80" s="12"/>
      <c r="E80" s="12"/>
      <c r="F80" s="12"/>
      <c r="G80" s="12"/>
      <c r="H80" s="12"/>
      <c r="I80" s="12"/>
      <c r="J80" s="12"/>
    </row>
    <row r="81" spans="4:10" ht="16.5" x14ac:dyDescent="0.45">
      <c r="D81" s="12"/>
      <c r="E81" s="12"/>
      <c r="F81" s="12"/>
      <c r="G81" s="12"/>
      <c r="H81" s="12"/>
      <c r="I81" s="12"/>
      <c r="J81" s="12"/>
    </row>
    <row r="82" spans="4:10" ht="16.5" x14ac:dyDescent="0.45">
      <c r="D82" s="12"/>
      <c r="E82" s="12"/>
      <c r="F82" s="12"/>
      <c r="G82" s="12"/>
      <c r="H82" s="12"/>
      <c r="I82" s="12"/>
      <c r="J82" s="12"/>
    </row>
    <row r="83" spans="4:10" ht="16.5" x14ac:dyDescent="0.45">
      <c r="D83" s="12"/>
      <c r="E83" s="12"/>
      <c r="F83" s="12"/>
      <c r="G83" s="12"/>
      <c r="H83" s="12"/>
      <c r="I83" s="12"/>
      <c r="J83" s="12"/>
    </row>
    <row r="84" spans="4:10" ht="16.5" x14ac:dyDescent="0.45">
      <c r="D84" s="12"/>
      <c r="E84" s="12"/>
      <c r="F84" s="12"/>
      <c r="G84" s="12"/>
      <c r="H84" s="12"/>
      <c r="I84" s="12"/>
      <c r="J84" s="12"/>
    </row>
    <row r="85" spans="4:10" ht="16.5" x14ac:dyDescent="0.45">
      <c r="D85" s="12"/>
      <c r="E85" s="12"/>
      <c r="F85" s="12"/>
      <c r="G85" s="12"/>
      <c r="H85" s="12"/>
      <c r="I85" s="12"/>
      <c r="J85" s="12"/>
    </row>
    <row r="86" spans="4:10" ht="16.5" x14ac:dyDescent="0.45">
      <c r="D86" s="12"/>
      <c r="E86" s="12"/>
      <c r="F86" s="12"/>
      <c r="G86" s="12"/>
      <c r="H86" s="12"/>
      <c r="I86" s="12"/>
      <c r="J86" s="12"/>
    </row>
    <row r="87" spans="4:10" ht="16.5" x14ac:dyDescent="0.45">
      <c r="D87" s="12"/>
      <c r="E87" s="12"/>
      <c r="F87" s="12"/>
      <c r="G87" s="12"/>
      <c r="H87" s="12"/>
      <c r="I87" s="12"/>
      <c r="J87" s="12"/>
    </row>
  </sheetData>
  <pageMargins left="0.7" right="0.7" top="0.75" bottom="0.75" header="0.3" footer="0.3"/>
  <pageSetup scale="4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43"/>
  <sheetViews>
    <sheetView showGridLines="0" zoomScale="60" zoomScaleNormal="60" zoomScaleSheetLayoutView="80" workbookViewId="0"/>
  </sheetViews>
  <sheetFormatPr baseColWidth="10" defaultColWidth="11.36328125" defaultRowHeight="14.5" x14ac:dyDescent="0.35"/>
  <cols>
    <col min="1" max="1" width="2.1796875" bestFit="1" customWidth="1"/>
    <col min="2" max="2" width="44.54296875" bestFit="1" customWidth="1"/>
    <col min="4" max="4" width="14.08984375" bestFit="1" customWidth="1"/>
    <col min="5" max="5" width="14.08984375" customWidth="1"/>
    <col min="6" max="7" width="11.36328125" customWidth="1"/>
    <col min="8" max="12" width="13.453125" bestFit="1" customWidth="1"/>
    <col min="13" max="13" width="2.54296875" customWidth="1"/>
    <col min="14" max="14" width="20.6328125" bestFit="1" customWidth="1"/>
    <col min="15" max="15" width="13.90625" bestFit="1" customWidth="1"/>
    <col min="16" max="16" width="14.1796875" bestFit="1" customWidth="1"/>
  </cols>
  <sheetData>
    <row r="1" spans="1:16" ht="30.5" thickBot="1" x14ac:dyDescent="0.85">
      <c r="A1" s="4"/>
      <c r="B1" s="10" t="s">
        <v>107</v>
      </c>
      <c r="C1" s="5"/>
      <c r="D1" s="5"/>
      <c r="E1" s="5"/>
      <c r="F1" s="5"/>
      <c r="G1" s="5"/>
      <c r="H1" s="5"/>
      <c r="I1" s="5"/>
      <c r="J1" s="5"/>
      <c r="K1" s="5"/>
      <c r="L1" s="5"/>
      <c r="M1" s="5"/>
    </row>
    <row r="4" spans="1:16" ht="23.25" customHeight="1" x14ac:dyDescent="0.35"/>
    <row r="5" spans="1:16" ht="16.5" customHeight="1" x14ac:dyDescent="0.35"/>
    <row r="6" spans="1:16" ht="16.5" x14ac:dyDescent="0.45">
      <c r="A6" s="6" t="s">
        <v>2</v>
      </c>
      <c r="B6" s="71" t="s">
        <v>46</v>
      </c>
      <c r="C6" s="72"/>
      <c r="D6" s="72">
        <v>2017</v>
      </c>
      <c r="E6" s="72">
        <v>2018</v>
      </c>
      <c r="F6" s="72">
        <v>2019</v>
      </c>
      <c r="G6" s="72">
        <v>2020</v>
      </c>
      <c r="H6" s="72">
        <v>2021</v>
      </c>
      <c r="I6" s="72">
        <v>2022</v>
      </c>
      <c r="J6" s="72">
        <v>2023</v>
      </c>
      <c r="K6" s="72">
        <v>2024</v>
      </c>
      <c r="L6" s="72">
        <v>2025</v>
      </c>
      <c r="M6" s="12"/>
      <c r="N6" s="12"/>
      <c r="O6" s="12"/>
      <c r="P6" s="12"/>
    </row>
    <row r="7" spans="1:16" ht="16.5" x14ac:dyDescent="0.45">
      <c r="B7" s="105" t="s">
        <v>26</v>
      </c>
      <c r="C7" s="105"/>
      <c r="D7" s="106">
        <f>+'1. Total Cash Cost Evolution '!D14</f>
        <v>10241.802530000001</v>
      </c>
      <c r="E7" s="106">
        <f>+'1. Total Cash Cost Evolution '!E14</f>
        <v>11359.20361</v>
      </c>
      <c r="F7" s="106">
        <f>+'1. Total Cash Cost Evolution '!G14</f>
        <v>10845.135890000001</v>
      </c>
      <c r="G7" s="106">
        <f>+'1. Total Cash Cost Evolution '!H14</f>
        <v>11103.200080000001</v>
      </c>
      <c r="H7" s="106">
        <f>+'1. Total Cash Cost Evolution '!I14</f>
        <v>10940.3066</v>
      </c>
      <c r="I7" s="106">
        <f>+'1. Total Cash Cost Evolution '!K14</f>
        <v>10484.88847</v>
      </c>
      <c r="J7" s="106">
        <f>+'1. Total Cash Cost Evolution '!L14</f>
        <v>12497.422690000001</v>
      </c>
      <c r="K7" s="106">
        <f>+'1. Total Cash Cost Evolution '!M14</f>
        <v>12762.596710000002</v>
      </c>
      <c r="L7" s="106">
        <f>+'1. Total Cash Cost Evolution '!O14</f>
        <v>12145.21249</v>
      </c>
      <c r="M7" s="12"/>
      <c r="N7" s="12"/>
      <c r="O7" s="12"/>
      <c r="P7" s="12"/>
    </row>
    <row r="8" spans="1:16" ht="16.5" x14ac:dyDescent="0.45">
      <c r="B8" s="107" t="s">
        <v>27</v>
      </c>
      <c r="C8" s="107"/>
      <c r="D8" s="108">
        <f>+'1. Total Cash Cost Evolution '!D15</f>
        <v>127.01385275342722</v>
      </c>
      <c r="E8" s="108">
        <f>+'1. Total Cash Cost Evolution '!E15</f>
        <v>127.61692361399639</v>
      </c>
      <c r="F8" s="108">
        <f>+'1. Total Cash Cost Evolution '!G15</f>
        <v>132.92952630837109</v>
      </c>
      <c r="G8" s="108">
        <f>+'1. Total Cash Cost Evolution '!H15</f>
        <v>131.52127776976133</v>
      </c>
      <c r="H8" s="108">
        <f>+'1. Total Cash Cost Evolution '!I15</f>
        <v>127.83652084277199</v>
      </c>
      <c r="I8" s="108">
        <f>+'1. Total Cash Cost Evolution '!K15</f>
        <v>130.67328320313459</v>
      </c>
      <c r="J8" s="108">
        <f>+'1. Total Cash Cost Evolution '!L15</f>
        <v>131.64490271102522</v>
      </c>
      <c r="K8" s="108">
        <f>+'1. Total Cash Cost Evolution '!M15</f>
        <v>132.38430490032741</v>
      </c>
      <c r="L8" s="108">
        <f>+'1. Total Cash Cost Evolution '!O15</f>
        <v>127.49717139183304</v>
      </c>
      <c r="M8" s="12"/>
      <c r="N8" s="12"/>
      <c r="O8" s="12"/>
      <c r="P8" s="12"/>
    </row>
    <row r="9" spans="1:16" ht="16.5" x14ac:dyDescent="0.45">
      <c r="B9" s="107" t="s">
        <v>28</v>
      </c>
      <c r="C9" s="107"/>
      <c r="D9" s="109">
        <f t="shared" ref="D9:I9" si="0">+D7*D8</f>
        <v>1300850.7984750983</v>
      </c>
      <c r="E9" s="109">
        <f t="shared" si="0"/>
        <v>1449626.6194132022</v>
      </c>
      <c r="F9" s="109">
        <f t="shared" si="0"/>
        <v>1441638.7766076147</v>
      </c>
      <c r="G9" s="109">
        <f t="shared" si="0"/>
        <v>1460307.0618549162</v>
      </c>
      <c r="H9" s="109">
        <f t="shared" si="0"/>
        <v>1398570.7326972159</v>
      </c>
      <c r="I9" s="109">
        <f t="shared" si="0"/>
        <v>1370094.8003935905</v>
      </c>
      <c r="J9" s="109">
        <f t="shared" ref="J9:L9" si="1">+J7*J8</f>
        <v>1645221.9941636093</v>
      </c>
      <c r="K9" s="109">
        <f t="shared" si="1"/>
        <v>1689567.4941765557</v>
      </c>
      <c r="L9" s="109">
        <f t="shared" si="1"/>
        <v>1548480.2384277612</v>
      </c>
      <c r="M9" s="12"/>
      <c r="N9" s="12"/>
      <c r="O9" s="12"/>
      <c r="P9" s="12"/>
    </row>
    <row r="10" spans="1:16" ht="16.5" x14ac:dyDescent="0.45">
      <c r="B10" s="107" t="s">
        <v>29</v>
      </c>
      <c r="C10" s="107"/>
      <c r="D10" s="110">
        <f>+D9/'2. EBITDA Price 2017-25'!$C$10</f>
        <v>1244476.0341290524</v>
      </c>
      <c r="E10" s="110">
        <f>+E9/'2. EBITDA Price 2017-25'!$C$10</f>
        <v>1386804.3809559001</v>
      </c>
      <c r="F10" s="110">
        <f>+F9/'2. EBITDA Price 2017-25'!$C$10</f>
        <v>1379162.7060246961</v>
      </c>
      <c r="G10" s="110">
        <f>+G9/'2. EBITDA Price 2017-25'!$C$10</f>
        <v>1397021.9667606584</v>
      </c>
      <c r="H10" s="110">
        <f>+H9/'2. EBITDA Price 2017-25'!$C$10</f>
        <v>1337961.0950896547</v>
      </c>
      <c r="I10" s="110">
        <f>+I9/'2. EBITDA Price 2017-25'!$C$10</f>
        <v>1310719.2197393959</v>
      </c>
      <c r="J10" s="110">
        <f>+J9/'2. EBITDA Price 2017-25'!$C$10</f>
        <v>1573923.2700311963</v>
      </c>
      <c r="K10" s="110">
        <f>+K9/'2. EBITDA Price 2017-25'!$C$10</f>
        <v>1616346.9761566592</v>
      </c>
      <c r="L10" s="110">
        <f>+L9/'2. EBITDA Price 2017-25'!$C$10</f>
        <v>1481373.9963912384</v>
      </c>
      <c r="M10" s="12"/>
      <c r="N10" s="12"/>
      <c r="O10" s="12"/>
      <c r="P10" s="12"/>
    </row>
    <row r="11" spans="1:16" ht="16.5" x14ac:dyDescent="0.45">
      <c r="B11" s="107" t="s">
        <v>58</v>
      </c>
      <c r="C11" s="107"/>
      <c r="D11" s="111">
        <f>+'2. EBITDA Price 2017-25'!Q26*'2. EBITDA Price 2017-25'!D16/('2. EBITDA Price 2017-25'!D16+'2. EBITDA Price 2017-25'!D29+'2. EBITDA Price 2017-25'!D33)+'2. EBITDA Price 2017-25'!Q31*('2. EBITDA Price 2017-25'!D29+'2. EBITDA Price 2017-25'!D33)/('2. EBITDA Price 2017-25'!D16+'2. EBITDA Price 2017-25'!D29+'2. EBITDA Price 2017-25'!D33)</f>
        <v>14.944734609875786</v>
      </c>
      <c r="E11" s="111">
        <f>+'2. EBITDA Price 2017-25'!R26*'2. EBITDA Price 2017-25'!E16/('2. EBITDA Price 2017-25'!E16+'2. EBITDA Price 2017-25'!E29+'2. EBITDA Price 2017-25'!E33)+'2. EBITDA Price 2017-25'!R31*('2. EBITDA Price 2017-25'!E29+'2. EBITDA Price 2017-25'!E33)/('2. EBITDA Price 2017-25'!E16+'2. EBITDA Price 2017-25'!E29+'2. EBITDA Price 2017-25'!E33)</f>
        <v>12.484588493573593</v>
      </c>
      <c r="F11" s="111">
        <f>+'2. EBITDA Price 2017-25'!S26*'2. EBITDA Price 2017-25'!F16/('2. EBITDA Price 2017-25'!F16+'2. EBITDA Price 2017-25'!F29+'2. EBITDA Price 2017-25'!F33)+'2. EBITDA Price 2017-25'!S31*('2. EBITDA Price 2017-25'!F29+'2. EBITDA Price 2017-25'!F33)/('2. EBITDA Price 2017-25'!F16+'2. EBITDA Price 2017-25'!F29+'2. EBITDA Price 2017-25'!F33)</f>
        <v>12.303882447016306</v>
      </c>
      <c r="G11" s="111">
        <f>+'2. EBITDA Price 2017-25'!T26*'2. EBITDA Price 2017-25'!G16/('2. EBITDA Price 2017-25'!G16+'2. EBITDA Price 2017-25'!G29+'2. EBITDA Price 2017-25'!G33)+'2. EBITDA Price 2017-25'!T31*('2. EBITDA Price 2017-25'!G29+'2. EBITDA Price 2017-25'!G33)/('2. EBITDA Price 2017-25'!G16+'2. EBITDA Price 2017-25'!G29+'2. EBITDA Price 2017-25'!G33)</f>
        <v>10.922666342564572</v>
      </c>
      <c r="H11" s="111">
        <f>+'2. EBITDA Price 2017-25'!U26*'2. EBITDA Price 2017-25'!H16/('2. EBITDA Price 2017-25'!H16+'2. EBITDA Price 2017-25'!H29+'2. EBITDA Price 2017-25'!H33)+'2. EBITDA Price 2017-25'!U31*('2. EBITDA Price 2017-25'!H29+'2. EBITDA Price 2017-25'!H33)/('2. EBITDA Price 2017-25'!H16+'2. EBITDA Price 2017-25'!H29+'2. EBITDA Price 2017-25'!H33)</f>
        <v>16.440048464046264</v>
      </c>
      <c r="I11" s="111">
        <f>+'2. EBITDA Price 2017-25'!V26*'2. EBITDA Price 2017-25'!I16/('2. EBITDA Price 2017-25'!I16+'2. EBITDA Price 2017-25'!I29+'2. EBITDA Price 2017-25'!I33)+'2. EBITDA Price 2017-25'!V31*('2. EBITDA Price 2017-25'!I29+'2. EBITDA Price 2017-25'!I33)/('2. EBITDA Price 2017-25'!I16+'2. EBITDA Price 2017-25'!I29+'2. EBITDA Price 2017-25'!I33)</f>
        <v>18.612102851290015</v>
      </c>
      <c r="J11" s="111">
        <f>+'2. EBITDA Price 2017-25'!W26*'2. EBITDA Price 2017-25'!J16/('2. EBITDA Price 2017-25'!J16+'2. EBITDA Price 2017-25'!J29+'2. EBITDA Price 2017-25'!J33)+'2. EBITDA Price 2017-25'!W31*('2. EBITDA Price 2017-25'!J29+'2. EBITDA Price 2017-25'!J33)/('2. EBITDA Price 2017-25'!J16+'2. EBITDA Price 2017-25'!J29+'2. EBITDA Price 2017-25'!J33)</f>
        <v>18.947358913637284</v>
      </c>
      <c r="K11" s="111">
        <f>+'2. EBITDA Price 2017-25'!X26*'2. EBITDA Price 2017-25'!K16/('2. EBITDA Price 2017-25'!K16+'2. EBITDA Price 2017-25'!K29+'2. EBITDA Price 2017-25'!K33)+'2. EBITDA Price 2017-25'!X31*('2. EBITDA Price 2017-25'!K29+'2. EBITDA Price 2017-25'!K33)/('2. EBITDA Price 2017-25'!K16+'2. EBITDA Price 2017-25'!K29+'2. EBITDA Price 2017-25'!K33)</f>
        <v>16.492890759392942</v>
      </c>
      <c r="L11" s="111">
        <f>+'2. EBITDA Price 2017-25'!Y26*'2. EBITDA Price 2017-25'!L16/('2. EBITDA Price 2017-25'!L16+'2. EBITDA Price 2017-25'!L29+'2. EBITDA Price 2017-25'!L33)+'2. EBITDA Price 2017-25'!Y31*('2. EBITDA Price 2017-25'!L29+'2. EBITDA Price 2017-25'!L33)/('2. EBITDA Price 2017-25'!L16+'2. EBITDA Price 2017-25'!L29+'2. EBITDA Price 2017-25'!L33)</f>
        <v>15.373394208357272</v>
      </c>
      <c r="M11" s="12"/>
      <c r="N11" s="12"/>
      <c r="O11" s="12"/>
      <c r="P11" s="12"/>
    </row>
    <row r="12" spans="1:16" ht="16.5" x14ac:dyDescent="0.45">
      <c r="B12" s="107" t="s">
        <v>30</v>
      </c>
      <c r="C12" s="107"/>
      <c r="D12" s="112">
        <f>+'1. Total Cash Cost Evolution '!I39</f>
        <v>9.6170739798166274</v>
      </c>
      <c r="E12" s="112">
        <f>+'1. Total Cash Cost Evolution '!M39</f>
        <v>7.1920425555567666</v>
      </c>
      <c r="F12" s="112">
        <f>+'1. Total Cash Cost Evolution '!Q39</f>
        <v>6.8385665666341291</v>
      </c>
      <c r="G12" s="112">
        <f>+'1. Total Cash Cost Evolution '!U39</f>
        <v>5.3529918555857572</v>
      </c>
      <c r="H12" s="112">
        <f>+'1. Total Cash Cost Evolution '!Y39</f>
        <v>7.4144122805769106</v>
      </c>
      <c r="I12" s="112">
        <f>+'1. Total Cash Cost Evolution '!AC39</f>
        <v>9.1517756184916816</v>
      </c>
      <c r="J12" s="112">
        <f>+'1. Total Cash Cost Evolution '!AG39</f>
        <v>9.6408493819420578</v>
      </c>
      <c r="K12" s="112">
        <f>+'1. Total Cash Cost Evolution '!AK39</f>
        <v>8.9840710795191328</v>
      </c>
      <c r="L12" s="112">
        <f>+'1. Total Cash Cost Evolution '!AO39</f>
        <v>9.5272090787108663</v>
      </c>
      <c r="M12" s="12"/>
      <c r="N12" s="12"/>
      <c r="O12" s="12"/>
      <c r="P12" s="12"/>
    </row>
    <row r="13" spans="1:16" ht="16.5" x14ac:dyDescent="0.45">
      <c r="B13" s="107" t="s">
        <v>31</v>
      </c>
      <c r="C13" s="107"/>
      <c r="D13" s="113">
        <f t="shared" ref="D13:I13" si="2">+D11-D12</f>
        <v>5.3276606300591585</v>
      </c>
      <c r="E13" s="113">
        <f t="shared" si="2"/>
        <v>5.2925459380168265</v>
      </c>
      <c r="F13" s="113">
        <f t="shared" si="2"/>
        <v>5.4653158803821773</v>
      </c>
      <c r="G13" s="113">
        <f t="shared" si="2"/>
        <v>5.5696744869788146</v>
      </c>
      <c r="H13" s="113">
        <f t="shared" si="2"/>
        <v>9.0256361834693521</v>
      </c>
      <c r="I13" s="113">
        <f t="shared" si="2"/>
        <v>9.460327232798333</v>
      </c>
      <c r="J13" s="113">
        <f t="shared" ref="J13:L13" si="3">+J11-J12</f>
        <v>9.3065095316952267</v>
      </c>
      <c r="K13" s="113">
        <f t="shared" si="3"/>
        <v>7.5088196798738096</v>
      </c>
      <c r="L13" s="113">
        <f t="shared" si="3"/>
        <v>5.8461851296464058</v>
      </c>
      <c r="M13" s="12"/>
      <c r="N13" s="12"/>
      <c r="O13" s="12"/>
      <c r="P13" s="12"/>
    </row>
    <row r="14" spans="1:16" ht="16.5" x14ac:dyDescent="0.45">
      <c r="B14" s="114" t="s">
        <v>32</v>
      </c>
      <c r="C14" s="114"/>
      <c r="D14" s="115">
        <f t="shared" ref="D14:I14" si="4">+D13*22.045</f>
        <v>117.44827858965415</v>
      </c>
      <c r="E14" s="115">
        <f t="shared" si="4"/>
        <v>116.67417520358094</v>
      </c>
      <c r="F14" s="115">
        <f t="shared" si="4"/>
        <v>120.4828885830251</v>
      </c>
      <c r="G14" s="115">
        <f t="shared" si="4"/>
        <v>122.78347406544798</v>
      </c>
      <c r="H14" s="115">
        <f t="shared" si="4"/>
        <v>198.9701496645819</v>
      </c>
      <c r="I14" s="115">
        <f t="shared" si="4"/>
        <v>208.55291384703926</v>
      </c>
      <c r="J14" s="115">
        <f t="shared" ref="J14:L14" si="5">+J13*22.045</f>
        <v>205.16200262622129</v>
      </c>
      <c r="K14" s="115">
        <f t="shared" si="5"/>
        <v>165.53192984281816</v>
      </c>
      <c r="L14" s="115">
        <f t="shared" si="5"/>
        <v>128.87915118305503</v>
      </c>
      <c r="M14" s="12"/>
      <c r="N14" s="12"/>
      <c r="O14" s="12"/>
      <c r="P14" s="12"/>
    </row>
    <row r="15" spans="1:16" ht="16.5" x14ac:dyDescent="0.45">
      <c r="B15" s="12"/>
      <c r="C15" s="12"/>
      <c r="D15" s="12"/>
      <c r="E15" s="12"/>
      <c r="F15" s="12"/>
      <c r="G15" s="12"/>
      <c r="H15" s="12"/>
      <c r="I15" s="12"/>
      <c r="J15" s="12"/>
      <c r="K15" s="12"/>
      <c r="L15" s="12"/>
      <c r="M15" s="12"/>
      <c r="N15" s="12"/>
      <c r="O15" s="12"/>
      <c r="P15" s="12"/>
    </row>
    <row r="16" spans="1:16" ht="16.5" x14ac:dyDescent="0.45">
      <c r="A16" s="6" t="s">
        <v>2</v>
      </c>
      <c r="B16" s="71" t="s">
        <v>36</v>
      </c>
      <c r="C16" s="72"/>
      <c r="D16" s="72">
        <v>2017</v>
      </c>
      <c r="E16" s="72">
        <v>2018</v>
      </c>
      <c r="F16" s="72">
        <v>2019</v>
      </c>
      <c r="G16" s="72">
        <f>+G6</f>
        <v>2020</v>
      </c>
      <c r="H16" s="72">
        <f>+H6</f>
        <v>2021</v>
      </c>
      <c r="I16" s="72">
        <v>2022</v>
      </c>
      <c r="J16" s="72">
        <v>2023</v>
      </c>
      <c r="K16" s="72">
        <v>2024</v>
      </c>
      <c r="L16" s="72">
        <v>2025</v>
      </c>
      <c r="M16" s="12"/>
      <c r="N16" s="12"/>
      <c r="O16" s="12"/>
      <c r="P16" s="12"/>
    </row>
    <row r="17" spans="2:16" ht="16.5" x14ac:dyDescent="0.45">
      <c r="B17" s="70" t="s">
        <v>37</v>
      </c>
      <c r="C17" s="70" t="s">
        <v>137</v>
      </c>
      <c r="D17" s="69">
        <f>+(D19*D20)/1000</f>
        <v>557018.9560554981</v>
      </c>
      <c r="E17" s="69">
        <f>+(E19*E20)/1000</f>
        <v>467784.27475215396</v>
      </c>
      <c r="F17" s="69">
        <f>+(F19*F20)/1000</f>
        <v>434183.1581596508</v>
      </c>
      <c r="G17" s="69">
        <f t="shared" ref="G17:L17" si="6">+(G19*G20)/1000</f>
        <v>350325.52579791256</v>
      </c>
      <c r="H17" s="69">
        <f t="shared" si="6"/>
        <v>465112.84639301797</v>
      </c>
      <c r="I17" s="69">
        <f t="shared" si="6"/>
        <v>551477.20890834369</v>
      </c>
      <c r="J17" s="69">
        <f t="shared" si="6"/>
        <v>655493.63301336218</v>
      </c>
      <c r="K17" s="69">
        <f t="shared" si="6"/>
        <v>644418.00000000023</v>
      </c>
      <c r="L17" s="69">
        <f t="shared" si="6"/>
        <v>576010.79071186006</v>
      </c>
      <c r="M17" s="12"/>
      <c r="N17" s="116"/>
      <c r="O17" s="122"/>
      <c r="P17" s="122"/>
    </row>
    <row r="18" spans="2:16" ht="16.5" x14ac:dyDescent="0.45">
      <c r="B18" s="49" t="s">
        <v>94</v>
      </c>
      <c r="C18" s="50" t="s">
        <v>48</v>
      </c>
      <c r="D18" s="117">
        <f>+'2. EBITDA Price 2017-25'!Q34</f>
        <v>16.356836290669836</v>
      </c>
      <c r="E18" s="117">
        <f>+'2. EBITDA Price 2017-25'!R34</f>
        <v>14.21338815681775</v>
      </c>
      <c r="F18" s="118">
        <f>+'2. EBITDA Price 2017-25'!S34</f>
        <v>12.382915629871446</v>
      </c>
      <c r="G18" s="118">
        <f>+'2. EBITDA Price 2017-25'!T34</f>
        <v>10.983005805549894</v>
      </c>
      <c r="H18" s="118">
        <f>+'2. EBITDA Price 2017-25'!U34</f>
        <v>15.994038139719924</v>
      </c>
      <c r="I18" s="118">
        <f>+'2. EBITDA Price 2017-25'!V34</f>
        <v>18.540298967590072</v>
      </c>
      <c r="J18" s="118">
        <f>+'2. EBITDA Price 2017-25'!W34</f>
        <v>19.123413687866694</v>
      </c>
      <c r="K18" s="118">
        <f>+'2. EBITDA Price 2017-25'!X34</f>
        <v>16.774355753800055</v>
      </c>
      <c r="L18" s="118">
        <f>+'2. EBITDA Price 2017-25'!Y34</f>
        <v>15.397154056592335</v>
      </c>
      <c r="M18" s="12"/>
      <c r="N18" s="119"/>
      <c r="O18" s="122"/>
      <c r="P18" s="122"/>
    </row>
    <row r="19" spans="2:16" ht="16.5" x14ac:dyDescent="0.45">
      <c r="B19" s="24" t="s">
        <v>94</v>
      </c>
      <c r="C19" s="12" t="s">
        <v>76</v>
      </c>
      <c r="D19" s="37">
        <f>+D18*'2. EBITDA Price 2017-25'!$C$7</f>
        <v>360.60608423136534</v>
      </c>
      <c r="E19" s="37">
        <f>+E18*'2. EBITDA Price 2017-25'!$C$7</f>
        <v>313.35119798283546</v>
      </c>
      <c r="F19" s="38">
        <f>+F18*'2. EBITDA Price 2017-25'!$C$7</f>
        <v>272.99623455927184</v>
      </c>
      <c r="G19" s="38">
        <f>+G18*'2. EBITDA Price 2017-25'!$C$7</f>
        <v>242.13354259031405</v>
      </c>
      <c r="H19" s="38">
        <f>+H18*'2. EBITDA Price 2017-25'!$C$7</f>
        <v>352.60776363589338</v>
      </c>
      <c r="I19" s="38">
        <f>+I18*'2. EBITDA Price 2017-25'!$C$7</f>
        <v>408.74313909928424</v>
      </c>
      <c r="J19" s="38">
        <f>+J18*'2. EBITDA Price 2017-25'!$C$7</f>
        <v>421.59860284544669</v>
      </c>
      <c r="K19" s="38">
        <f>+K18*'2. EBITDA Price 2017-25'!$C$7</f>
        <v>369.81080181942679</v>
      </c>
      <c r="L19" s="38">
        <f>+L18*'2. EBITDA Price 2017-25'!$C$7</f>
        <v>339.44873776244589</v>
      </c>
      <c r="M19" s="12"/>
      <c r="N19" s="116"/>
      <c r="O19" s="122"/>
      <c r="P19" s="122"/>
    </row>
    <row r="20" spans="2:16" ht="15" customHeight="1" x14ac:dyDescent="0.45">
      <c r="B20" s="24" t="s">
        <v>95</v>
      </c>
      <c r="C20" s="12" t="s">
        <v>73</v>
      </c>
      <c r="D20" s="37">
        <f>+'2. EBITDA Price 2017-25'!D16+'2. EBITDA Price 2017-25'!D19+'2. EBITDA Price 2017-25'!D29+'2. EBITDA Price 2017-25'!D33</f>
        <v>1544674.3147520327</v>
      </c>
      <c r="E20" s="37">
        <f>+'2. EBITDA Price 2017-25'!E16+'2. EBITDA Price 2017-25'!E19+'2. EBITDA Price 2017-25'!E29+'2. EBITDA Price 2017-25'!E33</f>
        <v>1492843.4222159185</v>
      </c>
      <c r="F20" s="38">
        <f>+'2. EBITDA Price 2017-25'!F16+'2. EBITDA Price 2017-25'!F19+'2. EBITDA Price 2017-25'!F29+'2. EBITDA Price 2017-25'!F33</f>
        <v>1590436.4353618317</v>
      </c>
      <c r="G20" s="38">
        <f>+'2. EBITDA Price 2017-25'!G16+'2. EBITDA Price 2017-25'!G19+'2. EBITDA Price 2017-25'!G29+'2. EBITDA Price 2017-25'!G33</f>
        <v>1446827.738322309</v>
      </c>
      <c r="H20" s="38">
        <f>+'2. EBITDA Price 2017-25'!H16+'2. EBITDA Price 2017-25'!H19+'2. EBITDA Price 2017-25'!H29+'2. EBITDA Price 2017-25'!H33</f>
        <v>1319065.8129504446</v>
      </c>
      <c r="I20" s="38">
        <f>+'2. EBITDA Price 2017-25'!I16+'2. EBITDA Price 2017-25'!I19+'2. EBITDA Price 2017-25'!I29+'2. EBITDA Price 2017-25'!I33</f>
        <v>1349202.3624508819</v>
      </c>
      <c r="J20" s="38">
        <f>+'2. EBITDA Price 2017-25'!J16+'2. EBITDA Price 2017-25'!J19+'2. EBITDA Price 2017-25'!J29+'2. EBITDA Price 2017-25'!J33</f>
        <v>1554781.32182914</v>
      </c>
      <c r="K20" s="38">
        <f>+'2. EBITDA Price 2017-25'!K16+'2. EBITDA Price 2017-25'!K19+'2. EBITDA Price 2017-25'!K29+'2. EBITDA Price 2017-25'!K33</f>
        <v>1742561.3227886732</v>
      </c>
      <c r="L20" s="38">
        <f>+'2. EBITDA Price 2017-25'!L16+'2. EBITDA Price 2017-25'!L19+'2. EBITDA Price 2017-25'!L29+'2. EBITDA Price 2017-25'!L33</f>
        <v>1696900.6705070317</v>
      </c>
      <c r="M20" s="12"/>
      <c r="N20" s="116"/>
      <c r="O20" s="122"/>
      <c r="P20" s="122"/>
    </row>
    <row r="21" spans="2:16" ht="16.5" x14ac:dyDescent="0.45">
      <c r="B21" s="70" t="s">
        <v>96</v>
      </c>
      <c r="C21" s="70" t="s">
        <v>137</v>
      </c>
      <c r="D21" s="69">
        <f>+(D23*D24)/1000</f>
        <v>-331880.98408442381</v>
      </c>
      <c r="E21" s="69">
        <f>+(E23*E24)/1000</f>
        <v>-286422.30970466614</v>
      </c>
      <c r="F21" s="69">
        <f>+(F23*F24)/1000</f>
        <v>-274157.94785557204</v>
      </c>
      <c r="G21" s="69">
        <f t="shared" ref="G21:L21" si="7">+(G23*G24)/1000</f>
        <v>-242454.06896748478</v>
      </c>
      <c r="H21" s="69">
        <f t="shared" si="7"/>
        <v>-310013.88503925788</v>
      </c>
      <c r="I21" s="69">
        <f t="shared" si="7"/>
        <v>-377882.59522744862</v>
      </c>
      <c r="J21" s="69">
        <f t="shared" si="7"/>
        <v>-481028.86616492033</v>
      </c>
      <c r="K21" s="69">
        <f t="shared" si="7"/>
        <v>-450966.35075317539</v>
      </c>
      <c r="L21" s="69">
        <f t="shared" si="7"/>
        <v>-417796.93965478096</v>
      </c>
      <c r="M21" s="12"/>
      <c r="N21" s="116"/>
      <c r="O21" s="122"/>
      <c r="P21" s="122"/>
    </row>
    <row r="22" spans="2:16" ht="16.5" x14ac:dyDescent="0.45">
      <c r="B22" s="49" t="s">
        <v>123</v>
      </c>
      <c r="C22" s="50" t="s">
        <v>48</v>
      </c>
      <c r="D22" s="117">
        <f>-'1. Total Cash Cost Evolution '!I45</f>
        <v>-12.096565705467503</v>
      </c>
      <c r="E22" s="117">
        <f>-'1. Total Cash Cost Evolution '!M45</f>
        <v>-9.3682375517637446</v>
      </c>
      <c r="F22" s="118">
        <f>-'1. Total Cash Cost Evolution '!Q45</f>
        <v>-9.0167824774756156</v>
      </c>
      <c r="G22" s="118">
        <f>-'1. Total Cash Cost Evolution '!U45</f>
        <v>-7.8721343804260995</v>
      </c>
      <c r="H22" s="118">
        <f>-'1. Total Cash Cost Evolution '!Y45</f>
        <v>-10.510029073078556</v>
      </c>
      <c r="I22" s="118">
        <f>-'1. Total Cash Cost Evolution '!AC45</f>
        <v>-13.077161241931604</v>
      </c>
      <c r="J22" s="118">
        <f>-'1. Total Cash Cost Evolution '!AG45</f>
        <v>-13.862891989769519</v>
      </c>
      <c r="K22" s="118">
        <f>-'1. Total Cash Cost Evolution '!AK45</f>
        <v>-12.655397765032857</v>
      </c>
      <c r="L22" s="118">
        <f>-'1. Total Cash Cost Evolution '!AO45</f>
        <v>-12.792834886597268</v>
      </c>
      <c r="M22" s="12"/>
      <c r="N22" s="116"/>
      <c r="O22" s="122"/>
      <c r="P22" s="122"/>
    </row>
    <row r="23" spans="2:16" ht="16.5" x14ac:dyDescent="0.45">
      <c r="B23" s="24" t="s">
        <v>123</v>
      </c>
      <c r="C23" s="12" t="s">
        <v>76</v>
      </c>
      <c r="D23" s="36">
        <f>+D22*'2. EBITDA Price 2017-25'!$C$7</f>
        <v>-266.68330685587767</v>
      </c>
      <c r="E23" s="36">
        <f>+E22*'2. EBITDA Price 2017-25'!$C$7</f>
        <v>-206.53403871369386</v>
      </c>
      <c r="F23" s="120">
        <f>+F22*'2. EBITDA Price 2017-25'!$C$7</f>
        <v>-198.78578985492291</v>
      </c>
      <c r="G23" s="120">
        <f>+G22*'2. EBITDA Price 2017-25'!$C$7</f>
        <v>-173.55064897774986</v>
      </c>
      <c r="H23" s="120">
        <f>+H22*'2. EBITDA Price 2017-25'!$C$7</f>
        <v>-231.70620295090444</v>
      </c>
      <c r="I23" s="120">
        <f>+I22*'2. EBITDA Price 2017-25'!$C$7</f>
        <v>-288.30171217187251</v>
      </c>
      <c r="J23" s="120">
        <f>+J22*'2. EBITDA Price 2017-25'!$C$7</f>
        <v>-305.62408938485675</v>
      </c>
      <c r="K23" s="120">
        <f>+K22*'2. EBITDA Price 2017-25'!$C$7</f>
        <v>-279.00343020746737</v>
      </c>
      <c r="L23" s="120">
        <f>+L22*'2. EBITDA Price 2017-25'!$C$7</f>
        <v>-282.03339647690069</v>
      </c>
      <c r="M23" s="12"/>
      <c r="N23" s="116"/>
      <c r="O23" s="125"/>
      <c r="P23" s="122"/>
    </row>
    <row r="24" spans="2:16" ht="16.5" x14ac:dyDescent="0.45">
      <c r="B24" s="24" t="s">
        <v>97</v>
      </c>
      <c r="C24" s="12" t="s">
        <v>73</v>
      </c>
      <c r="D24" s="37">
        <f>+('1. Total Cash Cost Evolution '!D14*'1. Total Cash Cost Evolution '!D15)*'1. Total Cash Cost Evolution '!D17</f>
        <v>1244476.0341290524</v>
      </c>
      <c r="E24" s="37">
        <f>+('1. Total Cash Cost Evolution '!E14*'1. Total Cash Cost Evolution '!E15)*'1. Total Cash Cost Evolution '!E17</f>
        <v>1386804.3809559001</v>
      </c>
      <c r="F24" s="38">
        <f>+('1. Total Cash Cost Evolution '!G14*'1. Total Cash Cost Evolution '!G15)*'1. Total Cash Cost Evolution '!G17</f>
        <v>1379162.7060246961</v>
      </c>
      <c r="G24" s="38">
        <f>+('1. Total Cash Cost Evolution '!H14*'1. Total Cash Cost Evolution '!H15)*'1. Total Cash Cost Evolution '!H17</f>
        <v>1397021.9667606584</v>
      </c>
      <c r="H24" s="38">
        <f>+('1. Total Cash Cost Evolution '!I14*'1. Total Cash Cost Evolution '!I15)*'1. Total Cash Cost Evolution '!I17</f>
        <v>1337961.0950896547</v>
      </c>
      <c r="I24" s="38">
        <f>+('1. Total Cash Cost Evolution '!K14*'1. Total Cash Cost Evolution '!K15)*'1. Total Cash Cost Evolution '!K17</f>
        <v>1310719.2197393959</v>
      </c>
      <c r="J24" s="38">
        <f>+('1. Total Cash Cost Evolution '!L14*'1. Total Cash Cost Evolution '!L15)*'1. Total Cash Cost Evolution '!L17</f>
        <v>1573923.2700311963</v>
      </c>
      <c r="K24" s="38">
        <f>+('1. Total Cash Cost Evolution '!M14*'1. Total Cash Cost Evolution '!M15)*'1. Total Cash Cost Evolution '!M17</f>
        <v>1616346.9761566592</v>
      </c>
      <c r="L24" s="38">
        <f>+('1. Total Cash Cost Evolution '!O14*'1. Total Cash Cost Evolution '!O15)*'1. Total Cash Cost Evolution '!O17</f>
        <v>1481373.9963912384</v>
      </c>
      <c r="M24" s="12"/>
      <c r="N24" s="116"/>
      <c r="O24" s="122"/>
      <c r="P24" s="122"/>
    </row>
    <row r="25" spans="2:16" ht="16.5" x14ac:dyDescent="0.45">
      <c r="B25" s="70" t="s">
        <v>33</v>
      </c>
      <c r="C25" s="70" t="s">
        <v>137</v>
      </c>
      <c r="D25" s="69">
        <f>+D17+D21</f>
        <v>225137.97197107429</v>
      </c>
      <c r="E25" s="69">
        <f>+E17+E21</f>
        <v>181361.96504748781</v>
      </c>
      <c r="F25" s="69">
        <f t="shared" ref="F25:L25" si="8">+F17+F21</f>
        <v>160025.21030407876</v>
      </c>
      <c r="G25" s="69">
        <f t="shared" si="8"/>
        <v>107871.45683042778</v>
      </c>
      <c r="H25" s="69">
        <f t="shared" si="8"/>
        <v>155098.9613537601</v>
      </c>
      <c r="I25" s="69">
        <f t="shared" si="8"/>
        <v>173594.61368089507</v>
      </c>
      <c r="J25" s="69">
        <f t="shared" si="8"/>
        <v>174464.76684844185</v>
      </c>
      <c r="K25" s="69">
        <f t="shared" si="8"/>
        <v>193451.64924682485</v>
      </c>
      <c r="L25" s="69">
        <f t="shared" si="8"/>
        <v>158213.8510570791</v>
      </c>
      <c r="M25" s="12"/>
      <c r="N25" s="116"/>
      <c r="O25" s="122"/>
      <c r="P25" s="122"/>
    </row>
    <row r="26" spans="2:16" ht="16.5" customHeight="1" x14ac:dyDescent="0.45">
      <c r="B26" s="12" t="s">
        <v>38</v>
      </c>
      <c r="C26" s="12" t="s">
        <v>137</v>
      </c>
      <c r="D26" s="37">
        <v>122522.61410098511</v>
      </c>
      <c r="E26" s="37">
        <v>117269</v>
      </c>
      <c r="F26" s="35">
        <v>121946.39746887275</v>
      </c>
      <c r="G26" s="35">
        <v>105419.63360997102</v>
      </c>
      <c r="H26" s="35">
        <v>127908.55025559153</v>
      </c>
      <c r="I26" s="35">
        <v>140665.03465520786</v>
      </c>
      <c r="J26" s="35">
        <v>175540.90417409217</v>
      </c>
      <c r="K26" s="35">
        <v>157573.30715399113</v>
      </c>
      <c r="L26" s="35">
        <v>133191.08386240117</v>
      </c>
      <c r="M26" s="12"/>
      <c r="N26" s="116"/>
      <c r="O26" s="122"/>
      <c r="P26" s="122"/>
    </row>
    <row r="27" spans="2:16" ht="16.5" x14ac:dyDescent="0.45">
      <c r="B27" s="12" t="s">
        <v>39</v>
      </c>
      <c r="C27" s="12" t="s">
        <v>137</v>
      </c>
      <c r="D27" s="37">
        <v>-2946.9999999999964</v>
      </c>
      <c r="E27" s="37">
        <v>-1222.885388272221</v>
      </c>
      <c r="F27" s="38">
        <v>-30.393189010418723</v>
      </c>
      <c r="G27" s="38">
        <v>299.14230918428075</v>
      </c>
      <c r="H27" s="38">
        <v>-32828.679982974354</v>
      </c>
      <c r="I27" s="38">
        <v>4672.1833569756454</v>
      </c>
      <c r="J27" s="38">
        <v>13123.884194819882</v>
      </c>
      <c r="K27" s="38">
        <v>13134.238819893668</v>
      </c>
      <c r="L27" s="38">
        <v>5226.93431698926</v>
      </c>
      <c r="M27" s="12"/>
      <c r="N27" s="116"/>
      <c r="O27" s="122"/>
      <c r="P27" s="122"/>
    </row>
    <row r="28" spans="2:16" ht="16.5" x14ac:dyDescent="0.45">
      <c r="B28" s="12" t="s">
        <v>40</v>
      </c>
      <c r="C28" s="12" t="s">
        <v>137</v>
      </c>
      <c r="D28" s="37">
        <v>-93106</v>
      </c>
      <c r="E28" s="37">
        <v>-43531</v>
      </c>
      <c r="F28" s="38">
        <v>-46066.979599918574</v>
      </c>
      <c r="G28" s="38">
        <v>-6663.5254212204045</v>
      </c>
      <c r="H28" s="38">
        <v>-4860</v>
      </c>
      <c r="I28" s="38">
        <v>-1254.744091046186</v>
      </c>
      <c r="J28" s="38">
        <v>-1011</v>
      </c>
      <c r="K28" s="38">
        <v>-1837</v>
      </c>
      <c r="L28" s="38">
        <v>-5922</v>
      </c>
      <c r="M28" s="12"/>
      <c r="N28" s="116"/>
      <c r="O28" s="122"/>
      <c r="P28" s="122"/>
    </row>
    <row r="29" spans="2:16" ht="16.5" x14ac:dyDescent="0.45">
      <c r="B29" s="12" t="s">
        <v>41</v>
      </c>
      <c r="C29" s="12" t="s">
        <v>137</v>
      </c>
      <c r="D29" s="37">
        <v>-17335</v>
      </c>
      <c r="E29" s="37">
        <v>7671</v>
      </c>
      <c r="F29" s="38">
        <v>-3072.6400846538236</v>
      </c>
      <c r="G29" s="38">
        <v>-2492.056698123044</v>
      </c>
      <c r="H29" s="38">
        <v>45560.071395399493</v>
      </c>
      <c r="I29" s="38">
        <v>7661.5502231641149</v>
      </c>
      <c r="J29" s="38">
        <v>38836.764898878624</v>
      </c>
      <c r="K29" s="38">
        <v>-33059.361384196382</v>
      </c>
      <c r="L29" s="38">
        <v>-33884.580131550618</v>
      </c>
      <c r="M29" s="12"/>
      <c r="N29" s="116"/>
      <c r="O29" s="122"/>
      <c r="P29" s="122"/>
    </row>
    <row r="30" spans="2:16" ht="16.5" x14ac:dyDescent="0.45">
      <c r="B30" s="12" t="s">
        <v>42</v>
      </c>
      <c r="C30" s="12" t="s">
        <v>137</v>
      </c>
      <c r="D30" s="37">
        <v>2724.9195392906404</v>
      </c>
      <c r="E30" s="37">
        <v>2961.8149583622062</v>
      </c>
      <c r="F30" s="38">
        <v>3178.5721642469603</v>
      </c>
      <c r="G30" s="38">
        <v>2367.8624458712934</v>
      </c>
      <c r="H30" s="38">
        <v>5394.6348331387371</v>
      </c>
      <c r="I30" s="38">
        <v>-6569.6432334609117</v>
      </c>
      <c r="J30" s="38">
        <v>7479</v>
      </c>
      <c r="K30" s="38">
        <v>7257</v>
      </c>
      <c r="L30" s="38">
        <v>4335</v>
      </c>
      <c r="M30" s="12"/>
      <c r="N30" s="116"/>
      <c r="O30" s="122"/>
      <c r="P30" s="122"/>
    </row>
    <row r="31" spans="2:16" ht="16.5" x14ac:dyDescent="0.45">
      <c r="B31" s="12" t="s">
        <v>43</v>
      </c>
      <c r="C31" s="12" t="s">
        <v>137</v>
      </c>
      <c r="D31" s="37">
        <v>10796.982104017792</v>
      </c>
      <c r="E31" s="37">
        <v>-45702</v>
      </c>
      <c r="F31" s="38">
        <v>7880.5183579025907</v>
      </c>
      <c r="G31" s="38">
        <v>16151</v>
      </c>
      <c r="H31" s="38">
        <v>-7142</v>
      </c>
      <c r="I31" s="38">
        <v>40221.626021828852</v>
      </c>
      <c r="J31" s="38">
        <v>8039.7330563250289</v>
      </c>
      <c r="K31" s="38">
        <v>-49259.328700432918</v>
      </c>
      <c r="L31" s="38">
        <v>56143.920683832941</v>
      </c>
      <c r="M31" s="12"/>
      <c r="N31" s="116"/>
      <c r="O31" s="122"/>
      <c r="P31" s="122"/>
    </row>
    <row r="32" spans="2:16" ht="16.5" x14ac:dyDescent="0.45">
      <c r="B32" s="12" t="s">
        <v>112</v>
      </c>
      <c r="C32" s="12" t="s">
        <v>137</v>
      </c>
      <c r="D32" s="37">
        <v>-493.513550084754</v>
      </c>
      <c r="E32" s="37">
        <v>19475.838700285356</v>
      </c>
      <c r="F32" s="38">
        <v>11252.738027702402</v>
      </c>
      <c r="G32" s="38">
        <v>33106.519137716212</v>
      </c>
      <c r="H32" s="38">
        <v>35732.381560409907</v>
      </c>
      <c r="I32" s="38">
        <v>18028.630888536689</v>
      </c>
      <c r="J32" s="38">
        <v>-23890</v>
      </c>
      <c r="K32" s="38">
        <v>69653.727430015744</v>
      </c>
      <c r="L32" s="38">
        <v>-19644.513208715827</v>
      </c>
      <c r="M32" s="12"/>
      <c r="N32" s="116"/>
      <c r="O32" s="122"/>
      <c r="P32" s="122"/>
    </row>
    <row r="33" spans="2:16" ht="16.5" x14ac:dyDescent="0.45">
      <c r="B33" s="12" t="s">
        <v>120</v>
      </c>
      <c r="C33" s="12" t="s">
        <v>137</v>
      </c>
      <c r="D33" s="37"/>
      <c r="E33" s="37"/>
      <c r="F33" s="38"/>
      <c r="G33" s="38">
        <v>3695.3934069261463</v>
      </c>
      <c r="H33" s="38">
        <v>4065.7499374024264</v>
      </c>
      <c r="I33" s="38">
        <v>1126</v>
      </c>
      <c r="J33" s="38">
        <v>-198</v>
      </c>
      <c r="K33" s="38">
        <v>272</v>
      </c>
      <c r="L33" s="38">
        <v>-110</v>
      </c>
      <c r="M33" s="12"/>
      <c r="N33" s="116"/>
      <c r="O33" s="122"/>
      <c r="P33" s="122"/>
    </row>
    <row r="34" spans="2:16" ht="16.5" x14ac:dyDescent="0.45">
      <c r="B34" s="12" t="s">
        <v>121</v>
      </c>
      <c r="C34" s="12" t="s">
        <v>137</v>
      </c>
      <c r="D34" s="37"/>
      <c r="E34" s="37"/>
      <c r="F34" s="38"/>
      <c r="G34" s="38">
        <v>0</v>
      </c>
      <c r="H34" s="38">
        <v>2870</v>
      </c>
      <c r="I34" s="38">
        <v>-322.51572257493308</v>
      </c>
      <c r="J34" s="38">
        <v>-867</v>
      </c>
      <c r="K34" s="38">
        <v>-2290</v>
      </c>
      <c r="L34" s="38">
        <v>-4510</v>
      </c>
      <c r="M34" s="12"/>
      <c r="N34" s="116"/>
      <c r="O34" s="122"/>
      <c r="P34" s="122"/>
    </row>
    <row r="35" spans="2:16" ht="16.5" x14ac:dyDescent="0.45">
      <c r="B35" s="12" t="s">
        <v>113</v>
      </c>
      <c r="C35" s="12" t="s">
        <v>137</v>
      </c>
      <c r="D35" s="37">
        <v>0</v>
      </c>
      <c r="E35" s="37">
        <v>0</v>
      </c>
      <c r="F35" s="38">
        <v>-2044</v>
      </c>
      <c r="G35" s="38">
        <v>-2910.7033398721105</v>
      </c>
      <c r="H35" s="38">
        <v>-898.18089914573648</v>
      </c>
      <c r="I35" s="38">
        <v>-3426.3266417402338</v>
      </c>
      <c r="J35" s="38">
        <v>0</v>
      </c>
      <c r="K35" s="38">
        <v>0</v>
      </c>
      <c r="L35" s="38">
        <v>0</v>
      </c>
      <c r="M35" s="12"/>
      <c r="N35" s="12"/>
      <c r="O35" s="122"/>
      <c r="P35" s="122"/>
    </row>
    <row r="36" spans="2:16" ht="16.5" x14ac:dyDescent="0.45">
      <c r="B36" s="12" t="s">
        <v>122</v>
      </c>
      <c r="C36" s="12" t="s">
        <v>137</v>
      </c>
      <c r="D36" s="37"/>
      <c r="E36" s="37"/>
      <c r="F36" s="38"/>
      <c r="G36" s="38">
        <v>-3053.8345436234995</v>
      </c>
      <c r="H36" s="38">
        <v>3952.4752031012322</v>
      </c>
      <c r="I36" s="38">
        <v>-626.40913778607501</v>
      </c>
      <c r="J36" s="38">
        <v>4117.9468274423853</v>
      </c>
      <c r="K36" s="38">
        <v>9263.7674339038786</v>
      </c>
      <c r="L36" s="38">
        <v>-1501.7000000000007</v>
      </c>
      <c r="M36" s="12"/>
      <c r="N36" s="116"/>
      <c r="O36" s="122"/>
      <c r="P36" s="122"/>
    </row>
    <row r="37" spans="2:16" ht="16.5" x14ac:dyDescent="0.45">
      <c r="B37" s="70" t="s">
        <v>45</v>
      </c>
      <c r="C37" s="70" t="s">
        <v>137</v>
      </c>
      <c r="D37" s="69">
        <f>+SUM(D25:D35)</f>
        <v>247300.97416528311</v>
      </c>
      <c r="E37" s="69">
        <f>+SUM(E25:E35)</f>
        <v>238283.73331786314</v>
      </c>
      <c r="F37" s="69">
        <f>+SUM(F25:F35)</f>
        <v>253069.42344922057</v>
      </c>
      <c r="G37" s="69">
        <f t="shared" ref="G37:L37" si="9">+SUM(G25:G36)</f>
        <v>253790.88773725764</v>
      </c>
      <c r="H37" s="69">
        <f t="shared" si="9"/>
        <v>334853.96365668334</v>
      </c>
      <c r="I37" s="69">
        <f t="shared" si="9"/>
        <v>373770</v>
      </c>
      <c r="J37" s="69">
        <f t="shared" si="9"/>
        <v>395637</v>
      </c>
      <c r="K37" s="69">
        <f t="shared" si="9"/>
        <v>364160</v>
      </c>
      <c r="L37" s="69">
        <f t="shared" si="9"/>
        <v>291537.99658003601</v>
      </c>
      <c r="M37" s="12"/>
      <c r="N37" s="12"/>
      <c r="O37" s="122"/>
      <c r="P37" s="122"/>
    </row>
    <row r="38" spans="2:16" ht="16.5" x14ac:dyDescent="0.45">
      <c r="B38" s="12"/>
      <c r="C38" s="12"/>
      <c r="D38" s="121"/>
      <c r="E38" s="121"/>
      <c r="F38" s="121"/>
      <c r="G38" s="121"/>
      <c r="H38" s="121"/>
      <c r="I38" s="121"/>
      <c r="J38" s="121"/>
      <c r="K38" s="121"/>
      <c r="L38" s="121"/>
      <c r="M38" s="12"/>
      <c r="N38" s="12"/>
      <c r="O38" s="12"/>
      <c r="P38" s="57"/>
    </row>
    <row r="39" spans="2:16" ht="16.5" x14ac:dyDescent="0.45">
      <c r="B39" s="12"/>
      <c r="C39" s="12"/>
      <c r="D39" s="122"/>
      <c r="E39" s="122"/>
      <c r="F39" s="123"/>
      <c r="G39" s="123"/>
      <c r="H39" s="123"/>
      <c r="I39" s="123"/>
      <c r="J39" s="123"/>
      <c r="K39" s="123"/>
      <c r="L39" s="123"/>
      <c r="M39" s="12"/>
      <c r="N39" s="12"/>
      <c r="O39" s="12"/>
      <c r="P39" s="12"/>
    </row>
    <row r="40" spans="2:16" ht="16.5" x14ac:dyDescent="0.45">
      <c r="B40" s="12"/>
      <c r="C40" s="12"/>
      <c r="D40" s="37"/>
      <c r="E40" s="37"/>
      <c r="F40" s="37"/>
      <c r="G40" s="37"/>
      <c r="H40" s="37"/>
      <c r="I40" s="37"/>
      <c r="J40" s="37"/>
      <c r="K40" s="122"/>
      <c r="L40" s="129"/>
      <c r="M40" s="12"/>
      <c r="N40" s="12"/>
      <c r="O40" s="12"/>
      <c r="P40" s="12"/>
    </row>
    <row r="41" spans="2:16" ht="16.5" x14ac:dyDescent="0.45">
      <c r="B41" s="12"/>
      <c r="C41" s="12"/>
      <c r="D41" s="124"/>
      <c r="E41" s="124"/>
      <c r="F41" s="124"/>
      <c r="G41" s="124"/>
      <c r="H41" s="124"/>
      <c r="I41" s="124"/>
      <c r="J41" s="124"/>
      <c r="K41" s="124"/>
      <c r="L41" s="130"/>
      <c r="M41" s="12"/>
      <c r="N41" s="12"/>
      <c r="O41" s="12"/>
      <c r="P41" s="12"/>
    </row>
    <row r="42" spans="2:16" ht="16.5" x14ac:dyDescent="0.45">
      <c r="B42" s="12"/>
      <c r="C42" s="12"/>
      <c r="D42" s="12"/>
      <c r="E42" s="12"/>
      <c r="F42" s="12"/>
      <c r="G42" s="12"/>
      <c r="H42" s="12"/>
      <c r="I42" s="122"/>
      <c r="J42" s="122"/>
      <c r="K42" s="122"/>
      <c r="L42" s="122"/>
      <c r="M42" s="12"/>
      <c r="N42" s="12"/>
      <c r="O42" s="12"/>
      <c r="P42" s="12"/>
    </row>
    <row r="43" spans="2:16" x14ac:dyDescent="0.35">
      <c r="K43" s="128"/>
      <c r="L43" s="128"/>
    </row>
  </sheetData>
  <pageMargins left="0.7" right="0.7" top="0.75" bottom="0.75" header="0.3" footer="0.3"/>
  <pageSetup scale="5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Cover</vt:lpstr>
      <vt:lpstr>1. Total Cash Cost Evolution </vt:lpstr>
      <vt:lpstr>2. EBITDA Price 2017-25</vt:lpstr>
      <vt:lpstr>3. EBITDA Calculation</vt:lpstr>
      <vt:lpstr>'1. Total Cash Cost Evolution '!Área_de_impresión</vt:lpstr>
      <vt:lpstr>'2. EBITDA Price 2017-25'!Área_de_impresión</vt:lpstr>
      <vt:lpstr>'3. EBITDA Calculation'!Área_de_impresión</vt:lpstr>
      <vt:lpstr>Cover!Área_de_impresión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 Taraciuk</dc:creator>
  <cp:lastModifiedBy>Ingrid Baumann Fonay</cp:lastModifiedBy>
  <dcterms:created xsi:type="dcterms:W3CDTF">2019-02-10T19:44:52Z</dcterms:created>
  <dcterms:modified xsi:type="dcterms:W3CDTF">2026-03-13T13:18:43Z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